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macprocat/Desktop/3cx/"/>
    </mc:Choice>
  </mc:AlternateContent>
  <xr:revisionPtr revIDLastSave="0" documentId="13_ncr:1_{E300F3D0-F4F2-EB47-9A17-CEF22D53A188}" xr6:coauthVersionLast="45" xr6:coauthVersionMax="45" xr10:uidLastSave="{00000000-0000-0000-0000-000000000000}"/>
  <workbookProtection workbookAlgorithmName="SHA-512" workbookHashValue="9L95m1RYpkAJmfY7i/MEPdNC2gV7VwlzxZEVeVQeKvL9eIqEBrW9/D1aFMK1lcjsZOX+ATjPIyNCF5Drs8SEYA==" workbookSaltValue="8v3i02wKmjvQYka/02JT2g==" workbookSpinCount="100000" lockStructure="1"/>
  <bookViews>
    <workbookView xWindow="12820" yWindow="460" windowWidth="15160" windowHeight="23700" activeTab="6" xr2:uid="{4DC39016-7930-A241-8041-8AC46C8C26A2}"/>
  </bookViews>
  <sheets>
    <sheet name="3cx List" sheetId="1" state="hidden" r:id="rId1"/>
    <sheet name="Fin." sheetId="9" state="hidden" r:id="rId2"/>
    <sheet name="Hardware" sheetId="8" state="hidden" r:id="rId3"/>
    <sheet name="Phones" sheetId="7" state="hidden" r:id="rId4"/>
    <sheet name="valeurs" sheetId="5" state="hidden" r:id="rId5"/>
    <sheet name="travail" sheetId="4" state="hidden" r:id="rId6"/>
    <sheet name="Simu" sheetId="10" r:id="rId7"/>
  </sheets>
  <definedNames>
    <definedName name="Annual">valeurs!$D$2:$D$15</definedName>
    <definedName name="Choix">valeurs!$A$2:$A$3</definedName>
    <definedName name="Durée">valeurs!$E$2:$E$12</definedName>
    <definedName name="Fanvil">valeurs!$I$2:$I$42</definedName>
    <definedName name="Finance1">valeurs!$K$2:$K$3</definedName>
    <definedName name="Finance2">valeurs!$L$2:$L$4</definedName>
    <definedName name="Finance3">valeurs!$M$2:$M$7</definedName>
    <definedName name="Grandstream">valeurs!$K$36:$K$38</definedName>
    <definedName name="Hardware">Hardware!$B$10:$B$20</definedName>
    <definedName name="HardwarePrix">Hardware!$B$10:$K$21</definedName>
    <definedName name="Licence">valeurs!$F$2:$F$4</definedName>
    <definedName name="Marques">valeurs!$J$2:$J$7</definedName>
    <definedName name="Perpetual">valeurs!$C$2:$C$9</definedName>
    <definedName name="Plantronics">valeurs!$K$42:$K$43</definedName>
    <definedName name="Print">Phones!$A$2:$W$124</definedName>
    <definedName name="_xlnm.Print_Area" localSheetId="6">Simu!$A$1:$F$42</definedName>
    <definedName name="Prix3cx">'3cx List'!$P$3:$AB$80</definedName>
    <definedName name="PrixIndex">valeurs!$J$12:$K$21</definedName>
    <definedName name="PrixMaint">valeurs!$J$25:$K$32</definedName>
    <definedName name="PrixTel">Phones!$C$3:$W$125</definedName>
    <definedName name="Profils">Hardware!$B$28:$B$34</definedName>
    <definedName name="ProfilsPrix">Hardware!$B$28:$K$34</definedName>
    <definedName name="Remises">valeurs!$L$12:$N$22</definedName>
    <definedName name="Snom">valeurs!$H$2:$H$47</definedName>
    <definedName name="Taux">valeurs!$N$2:$O$7</definedName>
    <definedName name="Type">valeurs!$B$2:$B$3</definedName>
    <definedName name="Yealink">valeurs!$G$2:$G$39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6" i="10" l="1"/>
  <c r="L26" i="10"/>
  <c r="K19" i="10"/>
  <c r="F11" i="10"/>
  <c r="F12" i="10"/>
  <c r="F13" i="10"/>
  <c r="F14" i="10"/>
  <c r="F15" i="10"/>
  <c r="F16" i="10"/>
  <c r="F17" i="10"/>
  <c r="F10" i="10"/>
  <c r="L35" i="10"/>
  <c r="K37" i="10"/>
  <c r="K35" i="10"/>
  <c r="L34" i="10"/>
  <c r="K34" i="10"/>
  <c r="H24" i="4"/>
  <c r="R24" i="4"/>
  <c r="J24" i="4"/>
  <c r="S24" i="4"/>
  <c r="H25" i="4"/>
  <c r="R25" i="4"/>
  <c r="J25" i="4"/>
  <c r="S25" i="4"/>
  <c r="H26" i="4"/>
  <c r="R26" i="4"/>
  <c r="J26" i="4"/>
  <c r="S26" i="4"/>
  <c r="H27" i="4"/>
  <c r="R27" i="4"/>
  <c r="J27" i="4"/>
  <c r="S27" i="4"/>
  <c r="H28" i="4"/>
  <c r="R28" i="4"/>
  <c r="J28" i="4"/>
  <c r="S28" i="4"/>
  <c r="R22" i="4"/>
  <c r="J52" i="4"/>
  <c r="H37" i="4"/>
  <c r="O37" i="4"/>
  <c r="L28" i="10"/>
  <c r="H38" i="4"/>
  <c r="O38" i="4"/>
  <c r="L29" i="10"/>
  <c r="H39" i="4"/>
  <c r="O39" i="4"/>
  <c r="L30" i="10"/>
  <c r="H40" i="4"/>
  <c r="O40" i="4"/>
  <c r="L31" i="10"/>
  <c r="H41" i="4"/>
  <c r="O41" i="4"/>
  <c r="L32" i="10"/>
  <c r="H36" i="4"/>
  <c r="O36" i="4"/>
  <c r="L27" i="10"/>
  <c r="K21" i="10"/>
  <c r="K22" i="10"/>
  <c r="K23" i="10"/>
  <c r="K24" i="10"/>
  <c r="K20" i="10"/>
  <c r="L9" i="10"/>
  <c r="K9" i="10"/>
  <c r="I13" i="4"/>
  <c r="R13" i="4"/>
  <c r="K11" i="10"/>
  <c r="J12" i="4"/>
  <c r="AC12" i="4"/>
  <c r="J13" i="4"/>
  <c r="AC13" i="4"/>
  <c r="J14" i="4"/>
  <c r="AC14" i="4"/>
  <c r="J15" i="4"/>
  <c r="AC15" i="4"/>
  <c r="J16" i="4"/>
  <c r="AC16" i="4"/>
  <c r="J17" i="4"/>
  <c r="AC17" i="4"/>
  <c r="J18" i="4"/>
  <c r="AC18" i="4"/>
  <c r="J19" i="4"/>
  <c r="AC19" i="4"/>
  <c r="AC24" i="4"/>
  <c r="AC25" i="4"/>
  <c r="AC26" i="4"/>
  <c r="AC27" i="4"/>
  <c r="AC28" i="4"/>
  <c r="AC10" i="4"/>
  <c r="M51" i="4"/>
  <c r="O13" i="4"/>
  <c r="L11" i="10"/>
  <c r="I14" i="4"/>
  <c r="R14" i="4"/>
  <c r="K12" i="10"/>
  <c r="O14" i="4"/>
  <c r="L12" i="10"/>
  <c r="I15" i="4"/>
  <c r="R15" i="4"/>
  <c r="K13" i="10"/>
  <c r="O15" i="4"/>
  <c r="L13" i="10"/>
  <c r="I16" i="4"/>
  <c r="R16" i="4"/>
  <c r="K14" i="10"/>
  <c r="O16" i="4"/>
  <c r="L14" i="10"/>
  <c r="I17" i="4"/>
  <c r="R17" i="4"/>
  <c r="K15" i="10"/>
  <c r="O17" i="4"/>
  <c r="L15" i="10"/>
  <c r="I18" i="4"/>
  <c r="R18" i="4"/>
  <c r="K16" i="10"/>
  <c r="O18" i="4"/>
  <c r="L16" i="10"/>
  <c r="I19" i="4"/>
  <c r="R19" i="4"/>
  <c r="K17" i="10"/>
  <c r="O19" i="4"/>
  <c r="L17" i="10"/>
  <c r="I12" i="4"/>
  <c r="O12" i="4"/>
  <c r="L10" i="10"/>
  <c r="R12" i="4"/>
  <c r="K10" i="10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D75" i="7"/>
  <c r="E75" i="7"/>
  <c r="G75" i="7"/>
  <c r="H75" i="7"/>
  <c r="N75" i="7"/>
  <c r="I75" i="7"/>
  <c r="J75" i="7"/>
  <c r="K75" i="7"/>
  <c r="L75" i="7"/>
  <c r="M75" i="7"/>
  <c r="O75" i="7"/>
  <c r="P75" i="7"/>
  <c r="D71" i="7"/>
  <c r="Q75" i="7"/>
  <c r="R75" i="7"/>
  <c r="S75" i="7"/>
  <c r="T75" i="7"/>
  <c r="U75" i="7"/>
  <c r="V75" i="7"/>
  <c r="W75" i="7"/>
  <c r="D80" i="7"/>
  <c r="E80" i="7"/>
  <c r="G80" i="7"/>
  <c r="H80" i="7"/>
  <c r="N80" i="7"/>
  <c r="I80" i="7"/>
  <c r="D1" i="7"/>
  <c r="J80" i="7"/>
  <c r="K80" i="7"/>
  <c r="L80" i="7"/>
  <c r="M80" i="7"/>
  <c r="O80" i="7"/>
  <c r="P80" i="7"/>
  <c r="D70" i="7"/>
  <c r="Q80" i="7"/>
  <c r="R80" i="7"/>
  <c r="S80" i="7"/>
  <c r="T80" i="7"/>
  <c r="U80" i="7"/>
  <c r="V80" i="7"/>
  <c r="W80" i="7"/>
  <c r="D78" i="7"/>
  <c r="E78" i="7"/>
  <c r="G78" i="7"/>
  <c r="H78" i="7"/>
  <c r="N78" i="7"/>
  <c r="I78" i="7"/>
  <c r="J78" i="7"/>
  <c r="K78" i="7"/>
  <c r="L78" i="7"/>
  <c r="M78" i="7"/>
  <c r="O78" i="7"/>
  <c r="P78" i="7"/>
  <c r="D69" i="7"/>
  <c r="Q78" i="7"/>
  <c r="R78" i="7"/>
  <c r="S78" i="7"/>
  <c r="T78" i="7"/>
  <c r="U78" i="7"/>
  <c r="V78" i="7"/>
  <c r="W78" i="7"/>
  <c r="D83" i="7"/>
  <c r="E83" i="7"/>
  <c r="G83" i="7"/>
  <c r="H83" i="7"/>
  <c r="N83" i="7"/>
  <c r="I83" i="7"/>
  <c r="J83" i="7"/>
  <c r="K83" i="7"/>
  <c r="L83" i="7"/>
  <c r="M83" i="7"/>
  <c r="O83" i="7"/>
  <c r="P83" i="7"/>
  <c r="D68" i="7"/>
  <c r="Q83" i="7"/>
  <c r="R83" i="7"/>
  <c r="S83" i="7"/>
  <c r="T83" i="7"/>
  <c r="U83" i="7"/>
  <c r="V83" i="7"/>
  <c r="W83" i="7"/>
  <c r="D81" i="7"/>
  <c r="E81" i="7"/>
  <c r="G81" i="7"/>
  <c r="H81" i="7"/>
  <c r="N81" i="7"/>
  <c r="I81" i="7"/>
  <c r="J81" i="7"/>
  <c r="K81" i="7"/>
  <c r="L81" i="7"/>
  <c r="M81" i="7"/>
  <c r="O81" i="7"/>
  <c r="P81" i="7"/>
  <c r="D67" i="7"/>
  <c r="Q81" i="7"/>
  <c r="R81" i="7"/>
  <c r="S81" i="7"/>
  <c r="T81" i="7"/>
  <c r="U81" i="7"/>
  <c r="V81" i="7"/>
  <c r="W81" i="7"/>
  <c r="D86" i="7"/>
  <c r="E86" i="7"/>
  <c r="G86" i="7"/>
  <c r="H86" i="7"/>
  <c r="N86" i="7"/>
  <c r="I86" i="7"/>
  <c r="J86" i="7"/>
  <c r="K86" i="7"/>
  <c r="L86" i="7"/>
  <c r="M86" i="7"/>
  <c r="O86" i="7"/>
  <c r="P86" i="7"/>
  <c r="D66" i="7"/>
  <c r="Q86" i="7"/>
  <c r="R86" i="7"/>
  <c r="S86" i="7"/>
  <c r="T86" i="7"/>
  <c r="U86" i="7"/>
  <c r="V86" i="7"/>
  <c r="W86" i="7"/>
  <c r="D85" i="7"/>
  <c r="E85" i="7"/>
  <c r="G85" i="7"/>
  <c r="H85" i="7"/>
  <c r="N85" i="7"/>
  <c r="I85" i="7"/>
  <c r="J85" i="7"/>
  <c r="K85" i="7"/>
  <c r="L85" i="7"/>
  <c r="M85" i="7"/>
  <c r="O85" i="7"/>
  <c r="P85" i="7"/>
  <c r="D65" i="7"/>
  <c r="Q85" i="7"/>
  <c r="R85" i="7"/>
  <c r="S85" i="7"/>
  <c r="T85" i="7"/>
  <c r="U85" i="7"/>
  <c r="V85" i="7"/>
  <c r="W85" i="7"/>
  <c r="G3" i="5"/>
  <c r="D4" i="7"/>
  <c r="E4" i="7"/>
  <c r="D5" i="7"/>
  <c r="E5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76" i="7"/>
  <c r="E76" i="7"/>
  <c r="D77" i="7"/>
  <c r="E77" i="7"/>
  <c r="D48" i="7"/>
  <c r="E48" i="7"/>
  <c r="D79" i="7"/>
  <c r="E79" i="7"/>
  <c r="D49" i="7"/>
  <c r="E49" i="7"/>
  <c r="D50" i="7"/>
  <c r="E50" i="7"/>
  <c r="D51" i="7"/>
  <c r="E51" i="7"/>
  <c r="D82" i="7"/>
  <c r="E82" i="7"/>
  <c r="D84" i="7"/>
  <c r="E84" i="7"/>
  <c r="D52" i="7"/>
  <c r="E52" i="7"/>
  <c r="D53" i="7"/>
  <c r="E53" i="7"/>
  <c r="D54" i="7"/>
  <c r="E54" i="7"/>
  <c r="D55" i="7"/>
  <c r="E55" i="7"/>
  <c r="D56" i="7"/>
  <c r="E56" i="7"/>
  <c r="D57" i="7"/>
  <c r="E57" i="7"/>
  <c r="D58" i="7"/>
  <c r="E58" i="7"/>
  <c r="D87" i="7"/>
  <c r="E87" i="7"/>
  <c r="D59" i="7"/>
  <c r="E59" i="7"/>
  <c r="D60" i="7"/>
  <c r="E60" i="7"/>
  <c r="D61" i="7"/>
  <c r="E61" i="7"/>
  <c r="D62" i="7"/>
  <c r="E62" i="7"/>
  <c r="D63" i="7"/>
  <c r="E63" i="7"/>
  <c r="D64" i="7"/>
  <c r="E64" i="7"/>
  <c r="E65" i="7"/>
  <c r="E66" i="7"/>
  <c r="E67" i="7"/>
  <c r="E68" i="7"/>
  <c r="E69" i="7"/>
  <c r="E70" i="7"/>
  <c r="E71" i="7"/>
  <c r="D72" i="7"/>
  <c r="E72" i="7"/>
  <c r="D73" i="7"/>
  <c r="E73" i="7"/>
  <c r="D74" i="7"/>
  <c r="E74" i="7"/>
  <c r="D88" i="7"/>
  <c r="E88" i="7"/>
  <c r="D89" i="7"/>
  <c r="E89" i="7"/>
  <c r="D90" i="7"/>
  <c r="E90" i="7"/>
  <c r="D91" i="7"/>
  <c r="E91" i="7"/>
  <c r="D92" i="7"/>
  <c r="E92" i="7"/>
  <c r="D93" i="7"/>
  <c r="E93" i="7"/>
  <c r="D94" i="7"/>
  <c r="E94" i="7"/>
  <c r="D95" i="7"/>
  <c r="E95" i="7"/>
  <c r="D96" i="7"/>
  <c r="E96" i="7"/>
  <c r="D97" i="7"/>
  <c r="E97" i="7"/>
  <c r="D98" i="7"/>
  <c r="E98" i="7"/>
  <c r="D99" i="7"/>
  <c r="E99" i="7"/>
  <c r="D100" i="7"/>
  <c r="E100" i="7"/>
  <c r="D101" i="7"/>
  <c r="E101" i="7"/>
  <c r="D102" i="7"/>
  <c r="E102" i="7"/>
  <c r="D103" i="7"/>
  <c r="E103" i="7"/>
  <c r="D104" i="7"/>
  <c r="E104" i="7"/>
  <c r="D105" i="7"/>
  <c r="E105" i="7"/>
  <c r="D106" i="7"/>
  <c r="E106" i="7"/>
  <c r="D107" i="7"/>
  <c r="E107" i="7"/>
  <c r="D108" i="7"/>
  <c r="E108" i="7"/>
  <c r="D109" i="7"/>
  <c r="E109" i="7"/>
  <c r="D110" i="7"/>
  <c r="E110" i="7"/>
  <c r="D111" i="7"/>
  <c r="E111" i="7"/>
  <c r="D112" i="7"/>
  <c r="E112" i="7"/>
  <c r="D113" i="7"/>
  <c r="E113" i="7"/>
  <c r="D114" i="7"/>
  <c r="E114" i="7"/>
  <c r="D115" i="7"/>
  <c r="E115" i="7"/>
  <c r="D116" i="7"/>
  <c r="E116" i="7"/>
  <c r="D117" i="7"/>
  <c r="E117" i="7"/>
  <c r="D118" i="7"/>
  <c r="E118" i="7"/>
  <c r="D119" i="7"/>
  <c r="E119" i="7"/>
  <c r="D120" i="7"/>
  <c r="E120" i="7"/>
  <c r="D121" i="7"/>
  <c r="E121" i="7"/>
  <c r="D122" i="7"/>
  <c r="E122" i="7"/>
  <c r="D123" i="7"/>
  <c r="E123" i="7"/>
  <c r="D124" i="7"/>
  <c r="E124" i="7"/>
  <c r="G4" i="7"/>
  <c r="H4" i="7"/>
  <c r="N4" i="7"/>
  <c r="I4" i="7"/>
  <c r="J4" i="7"/>
  <c r="K4" i="7"/>
  <c r="L4" i="7"/>
  <c r="M4" i="7"/>
  <c r="O4" i="7"/>
  <c r="P4" i="7"/>
  <c r="Q4" i="7"/>
  <c r="R4" i="7"/>
  <c r="S4" i="7"/>
  <c r="T4" i="7"/>
  <c r="U4" i="7"/>
  <c r="V4" i="7"/>
  <c r="W4" i="7"/>
  <c r="G5" i="7"/>
  <c r="H5" i="7"/>
  <c r="N5" i="7"/>
  <c r="I5" i="7"/>
  <c r="J5" i="7"/>
  <c r="K5" i="7"/>
  <c r="L5" i="7"/>
  <c r="M5" i="7"/>
  <c r="O5" i="7"/>
  <c r="P5" i="7"/>
  <c r="Q5" i="7"/>
  <c r="R5" i="7"/>
  <c r="S5" i="7"/>
  <c r="T5" i="7"/>
  <c r="U5" i="7"/>
  <c r="V5" i="7"/>
  <c r="W5" i="7"/>
  <c r="G6" i="7"/>
  <c r="H6" i="7"/>
  <c r="N6" i="7"/>
  <c r="I6" i="7"/>
  <c r="J6" i="7"/>
  <c r="K6" i="7"/>
  <c r="L6" i="7"/>
  <c r="M6" i="7"/>
  <c r="O6" i="7"/>
  <c r="P6" i="7"/>
  <c r="Q6" i="7"/>
  <c r="R6" i="7"/>
  <c r="S6" i="7"/>
  <c r="T6" i="7"/>
  <c r="U6" i="7"/>
  <c r="V6" i="7"/>
  <c r="W6" i="7"/>
  <c r="G7" i="7"/>
  <c r="H7" i="7"/>
  <c r="N7" i="7"/>
  <c r="I7" i="7"/>
  <c r="J7" i="7"/>
  <c r="K7" i="7"/>
  <c r="L7" i="7"/>
  <c r="M7" i="7"/>
  <c r="O7" i="7"/>
  <c r="P7" i="7"/>
  <c r="Q7" i="7"/>
  <c r="R7" i="7"/>
  <c r="S7" i="7"/>
  <c r="T7" i="7"/>
  <c r="U7" i="7"/>
  <c r="V7" i="7"/>
  <c r="W7" i="7"/>
  <c r="G8" i="7"/>
  <c r="H8" i="7"/>
  <c r="N8" i="7"/>
  <c r="I8" i="7"/>
  <c r="J8" i="7"/>
  <c r="K8" i="7"/>
  <c r="L8" i="7"/>
  <c r="M8" i="7"/>
  <c r="O8" i="7"/>
  <c r="P8" i="7"/>
  <c r="Q8" i="7"/>
  <c r="R8" i="7"/>
  <c r="S8" i="7"/>
  <c r="T8" i="7"/>
  <c r="U8" i="7"/>
  <c r="V8" i="7"/>
  <c r="W8" i="7"/>
  <c r="G9" i="7"/>
  <c r="H9" i="7"/>
  <c r="N9" i="7"/>
  <c r="I9" i="7"/>
  <c r="J9" i="7"/>
  <c r="K9" i="7"/>
  <c r="L9" i="7"/>
  <c r="M9" i="7"/>
  <c r="O9" i="7"/>
  <c r="P9" i="7"/>
  <c r="Q9" i="7"/>
  <c r="R9" i="7"/>
  <c r="S9" i="7"/>
  <c r="T9" i="7"/>
  <c r="U9" i="7"/>
  <c r="V9" i="7"/>
  <c r="W9" i="7"/>
  <c r="G10" i="7"/>
  <c r="H10" i="7"/>
  <c r="N10" i="7"/>
  <c r="I10" i="7"/>
  <c r="J10" i="7"/>
  <c r="K10" i="7"/>
  <c r="L10" i="7"/>
  <c r="M10" i="7"/>
  <c r="O10" i="7"/>
  <c r="P10" i="7"/>
  <c r="Q10" i="7"/>
  <c r="R10" i="7"/>
  <c r="S10" i="7"/>
  <c r="T10" i="7"/>
  <c r="U10" i="7"/>
  <c r="V10" i="7"/>
  <c r="W10" i="7"/>
  <c r="G11" i="7"/>
  <c r="H11" i="7"/>
  <c r="N11" i="7"/>
  <c r="I11" i="7"/>
  <c r="J11" i="7"/>
  <c r="K11" i="7"/>
  <c r="L11" i="7"/>
  <c r="M11" i="7"/>
  <c r="O11" i="7"/>
  <c r="P11" i="7"/>
  <c r="Q11" i="7"/>
  <c r="R11" i="7"/>
  <c r="S11" i="7"/>
  <c r="T11" i="7"/>
  <c r="U11" i="7"/>
  <c r="V11" i="7"/>
  <c r="W11" i="7"/>
  <c r="G12" i="7"/>
  <c r="H12" i="7"/>
  <c r="N12" i="7"/>
  <c r="I12" i="7"/>
  <c r="J12" i="7"/>
  <c r="K12" i="7"/>
  <c r="L12" i="7"/>
  <c r="M12" i="7"/>
  <c r="O12" i="7"/>
  <c r="P12" i="7"/>
  <c r="Q12" i="7"/>
  <c r="R12" i="7"/>
  <c r="S12" i="7"/>
  <c r="T12" i="7"/>
  <c r="U12" i="7"/>
  <c r="V12" i="7"/>
  <c r="W12" i="7"/>
  <c r="G13" i="7"/>
  <c r="H13" i="7"/>
  <c r="N13" i="7"/>
  <c r="I13" i="7"/>
  <c r="J13" i="7"/>
  <c r="K13" i="7"/>
  <c r="L13" i="7"/>
  <c r="M13" i="7"/>
  <c r="O13" i="7"/>
  <c r="P13" i="7"/>
  <c r="Q13" i="7"/>
  <c r="R13" i="7"/>
  <c r="S13" i="7"/>
  <c r="T13" i="7"/>
  <c r="U13" i="7"/>
  <c r="V13" i="7"/>
  <c r="W13" i="7"/>
  <c r="G14" i="7"/>
  <c r="H14" i="7"/>
  <c r="N14" i="7"/>
  <c r="I14" i="7"/>
  <c r="J14" i="7"/>
  <c r="K14" i="7"/>
  <c r="L14" i="7"/>
  <c r="M14" i="7"/>
  <c r="O14" i="7"/>
  <c r="P14" i="7"/>
  <c r="Q14" i="7"/>
  <c r="R14" i="7"/>
  <c r="S14" i="7"/>
  <c r="T14" i="7"/>
  <c r="U14" i="7"/>
  <c r="V14" i="7"/>
  <c r="W14" i="7"/>
  <c r="G15" i="7"/>
  <c r="H15" i="7"/>
  <c r="N15" i="7"/>
  <c r="I15" i="7"/>
  <c r="J15" i="7"/>
  <c r="K15" i="7"/>
  <c r="L15" i="7"/>
  <c r="M15" i="7"/>
  <c r="O15" i="7"/>
  <c r="P15" i="7"/>
  <c r="Q15" i="7"/>
  <c r="R15" i="7"/>
  <c r="S15" i="7"/>
  <c r="T15" i="7"/>
  <c r="U15" i="7"/>
  <c r="V15" i="7"/>
  <c r="W15" i="7"/>
  <c r="G16" i="7"/>
  <c r="H16" i="7"/>
  <c r="N16" i="7"/>
  <c r="I16" i="7"/>
  <c r="J16" i="7"/>
  <c r="K16" i="7"/>
  <c r="L16" i="7"/>
  <c r="M16" i="7"/>
  <c r="O16" i="7"/>
  <c r="P16" i="7"/>
  <c r="Q16" i="7"/>
  <c r="R16" i="7"/>
  <c r="S16" i="7"/>
  <c r="T16" i="7"/>
  <c r="U16" i="7"/>
  <c r="V16" i="7"/>
  <c r="W16" i="7"/>
  <c r="G17" i="7"/>
  <c r="H17" i="7"/>
  <c r="N17" i="7"/>
  <c r="I17" i="7"/>
  <c r="J17" i="7"/>
  <c r="K17" i="7"/>
  <c r="L17" i="7"/>
  <c r="M17" i="7"/>
  <c r="O17" i="7"/>
  <c r="P17" i="7"/>
  <c r="Q17" i="7"/>
  <c r="R17" i="7"/>
  <c r="S17" i="7"/>
  <c r="T17" i="7"/>
  <c r="U17" i="7"/>
  <c r="V17" i="7"/>
  <c r="W17" i="7"/>
  <c r="G18" i="7"/>
  <c r="H18" i="7"/>
  <c r="N18" i="7"/>
  <c r="I18" i="7"/>
  <c r="J18" i="7"/>
  <c r="K18" i="7"/>
  <c r="L18" i="7"/>
  <c r="M18" i="7"/>
  <c r="O18" i="7"/>
  <c r="P18" i="7"/>
  <c r="Q18" i="7"/>
  <c r="R18" i="7"/>
  <c r="S18" i="7"/>
  <c r="T18" i="7"/>
  <c r="U18" i="7"/>
  <c r="V18" i="7"/>
  <c r="W18" i="7"/>
  <c r="G19" i="7"/>
  <c r="H19" i="7"/>
  <c r="N19" i="7"/>
  <c r="I19" i="7"/>
  <c r="J19" i="7"/>
  <c r="K19" i="7"/>
  <c r="L19" i="7"/>
  <c r="M19" i="7"/>
  <c r="O19" i="7"/>
  <c r="P19" i="7"/>
  <c r="Q19" i="7"/>
  <c r="R19" i="7"/>
  <c r="S19" i="7"/>
  <c r="T19" i="7"/>
  <c r="U19" i="7"/>
  <c r="V19" i="7"/>
  <c r="W19" i="7"/>
  <c r="G20" i="7"/>
  <c r="H20" i="7"/>
  <c r="N20" i="7"/>
  <c r="I20" i="7"/>
  <c r="J20" i="7"/>
  <c r="K20" i="7"/>
  <c r="L20" i="7"/>
  <c r="M20" i="7"/>
  <c r="O20" i="7"/>
  <c r="P20" i="7"/>
  <c r="Q20" i="7"/>
  <c r="R20" i="7"/>
  <c r="S20" i="7"/>
  <c r="T20" i="7"/>
  <c r="U20" i="7"/>
  <c r="V20" i="7"/>
  <c r="W20" i="7"/>
  <c r="G21" i="7"/>
  <c r="H21" i="7"/>
  <c r="N21" i="7"/>
  <c r="I21" i="7"/>
  <c r="J21" i="7"/>
  <c r="K21" i="7"/>
  <c r="L21" i="7"/>
  <c r="M21" i="7"/>
  <c r="O21" i="7"/>
  <c r="P21" i="7"/>
  <c r="Q21" i="7"/>
  <c r="R21" i="7"/>
  <c r="S21" i="7"/>
  <c r="T21" i="7"/>
  <c r="U21" i="7"/>
  <c r="V21" i="7"/>
  <c r="W21" i="7"/>
  <c r="G22" i="7"/>
  <c r="H22" i="7"/>
  <c r="N22" i="7"/>
  <c r="I22" i="7"/>
  <c r="J22" i="7"/>
  <c r="K22" i="7"/>
  <c r="L22" i="7"/>
  <c r="M22" i="7"/>
  <c r="O22" i="7"/>
  <c r="P22" i="7"/>
  <c r="Q22" i="7"/>
  <c r="R22" i="7"/>
  <c r="S22" i="7"/>
  <c r="T22" i="7"/>
  <c r="U22" i="7"/>
  <c r="V22" i="7"/>
  <c r="W22" i="7"/>
  <c r="G23" i="7"/>
  <c r="H23" i="7"/>
  <c r="N23" i="7"/>
  <c r="I23" i="7"/>
  <c r="J23" i="7"/>
  <c r="K23" i="7"/>
  <c r="L23" i="7"/>
  <c r="M23" i="7"/>
  <c r="O23" i="7"/>
  <c r="P23" i="7"/>
  <c r="Q23" i="7"/>
  <c r="R23" i="7"/>
  <c r="S23" i="7"/>
  <c r="T23" i="7"/>
  <c r="U23" i="7"/>
  <c r="V23" i="7"/>
  <c r="W23" i="7"/>
  <c r="G24" i="7"/>
  <c r="H24" i="7"/>
  <c r="N24" i="7"/>
  <c r="I24" i="7"/>
  <c r="J24" i="7"/>
  <c r="K24" i="7"/>
  <c r="L24" i="7"/>
  <c r="M24" i="7"/>
  <c r="O24" i="7"/>
  <c r="P24" i="7"/>
  <c r="Q24" i="7"/>
  <c r="R24" i="7"/>
  <c r="S24" i="7"/>
  <c r="T24" i="7"/>
  <c r="U24" i="7"/>
  <c r="V24" i="7"/>
  <c r="W24" i="7"/>
  <c r="G25" i="7"/>
  <c r="H25" i="7"/>
  <c r="N25" i="7"/>
  <c r="I25" i="7"/>
  <c r="J25" i="7"/>
  <c r="K25" i="7"/>
  <c r="L25" i="7"/>
  <c r="M25" i="7"/>
  <c r="O25" i="7"/>
  <c r="P25" i="7"/>
  <c r="Q25" i="7"/>
  <c r="R25" i="7"/>
  <c r="S25" i="7"/>
  <c r="T25" i="7"/>
  <c r="U25" i="7"/>
  <c r="V25" i="7"/>
  <c r="W25" i="7"/>
  <c r="G26" i="7"/>
  <c r="H26" i="7"/>
  <c r="N26" i="7"/>
  <c r="I26" i="7"/>
  <c r="J26" i="7"/>
  <c r="K26" i="7"/>
  <c r="L26" i="7"/>
  <c r="M26" i="7"/>
  <c r="O26" i="7"/>
  <c r="P26" i="7"/>
  <c r="Q26" i="7"/>
  <c r="R26" i="7"/>
  <c r="S26" i="7"/>
  <c r="T26" i="7"/>
  <c r="U26" i="7"/>
  <c r="V26" i="7"/>
  <c r="W26" i="7"/>
  <c r="G27" i="7"/>
  <c r="H27" i="7"/>
  <c r="N27" i="7"/>
  <c r="I27" i="7"/>
  <c r="J27" i="7"/>
  <c r="K27" i="7"/>
  <c r="L27" i="7"/>
  <c r="M27" i="7"/>
  <c r="O27" i="7"/>
  <c r="P27" i="7"/>
  <c r="Q27" i="7"/>
  <c r="R27" i="7"/>
  <c r="S27" i="7"/>
  <c r="T27" i="7"/>
  <c r="U27" i="7"/>
  <c r="V27" i="7"/>
  <c r="W27" i="7"/>
  <c r="G28" i="7"/>
  <c r="H28" i="7"/>
  <c r="N28" i="7"/>
  <c r="I28" i="7"/>
  <c r="J28" i="7"/>
  <c r="K28" i="7"/>
  <c r="L28" i="7"/>
  <c r="M28" i="7"/>
  <c r="O28" i="7"/>
  <c r="P28" i="7"/>
  <c r="Q28" i="7"/>
  <c r="R28" i="7"/>
  <c r="S28" i="7"/>
  <c r="T28" i="7"/>
  <c r="U28" i="7"/>
  <c r="V28" i="7"/>
  <c r="W28" i="7"/>
  <c r="G29" i="7"/>
  <c r="H29" i="7"/>
  <c r="N29" i="7"/>
  <c r="I29" i="7"/>
  <c r="J29" i="7"/>
  <c r="K29" i="7"/>
  <c r="L29" i="7"/>
  <c r="M29" i="7"/>
  <c r="O29" i="7"/>
  <c r="P29" i="7"/>
  <c r="Q29" i="7"/>
  <c r="R29" i="7"/>
  <c r="S29" i="7"/>
  <c r="T29" i="7"/>
  <c r="U29" i="7"/>
  <c r="V29" i="7"/>
  <c r="W29" i="7"/>
  <c r="G30" i="7"/>
  <c r="H30" i="7"/>
  <c r="N30" i="7"/>
  <c r="I30" i="7"/>
  <c r="J30" i="7"/>
  <c r="K30" i="7"/>
  <c r="L30" i="7"/>
  <c r="M30" i="7"/>
  <c r="O30" i="7"/>
  <c r="P30" i="7"/>
  <c r="Q30" i="7"/>
  <c r="R30" i="7"/>
  <c r="S30" i="7"/>
  <c r="T30" i="7"/>
  <c r="U30" i="7"/>
  <c r="V30" i="7"/>
  <c r="W30" i="7"/>
  <c r="G31" i="7"/>
  <c r="H31" i="7"/>
  <c r="N31" i="7"/>
  <c r="I31" i="7"/>
  <c r="J31" i="7"/>
  <c r="K31" i="7"/>
  <c r="L31" i="7"/>
  <c r="M31" i="7"/>
  <c r="O31" i="7"/>
  <c r="P31" i="7"/>
  <c r="Q31" i="7"/>
  <c r="R31" i="7"/>
  <c r="S31" i="7"/>
  <c r="T31" i="7"/>
  <c r="U31" i="7"/>
  <c r="V31" i="7"/>
  <c r="W31" i="7"/>
  <c r="G32" i="7"/>
  <c r="H32" i="7"/>
  <c r="N32" i="7"/>
  <c r="I32" i="7"/>
  <c r="J32" i="7"/>
  <c r="K32" i="7"/>
  <c r="L32" i="7"/>
  <c r="M32" i="7"/>
  <c r="O32" i="7"/>
  <c r="P32" i="7"/>
  <c r="Q32" i="7"/>
  <c r="R32" i="7"/>
  <c r="S32" i="7"/>
  <c r="T32" i="7"/>
  <c r="U32" i="7"/>
  <c r="V32" i="7"/>
  <c r="W32" i="7"/>
  <c r="G33" i="7"/>
  <c r="H33" i="7"/>
  <c r="N33" i="7"/>
  <c r="I33" i="7"/>
  <c r="J33" i="7"/>
  <c r="K33" i="7"/>
  <c r="L33" i="7"/>
  <c r="M33" i="7"/>
  <c r="O33" i="7"/>
  <c r="P33" i="7"/>
  <c r="Q33" i="7"/>
  <c r="R33" i="7"/>
  <c r="S33" i="7"/>
  <c r="T33" i="7"/>
  <c r="U33" i="7"/>
  <c r="V33" i="7"/>
  <c r="W33" i="7"/>
  <c r="G34" i="7"/>
  <c r="H34" i="7"/>
  <c r="N34" i="7"/>
  <c r="I34" i="7"/>
  <c r="J34" i="7"/>
  <c r="K34" i="7"/>
  <c r="L34" i="7"/>
  <c r="M34" i="7"/>
  <c r="O34" i="7"/>
  <c r="P34" i="7"/>
  <c r="Q34" i="7"/>
  <c r="R34" i="7"/>
  <c r="S34" i="7"/>
  <c r="T34" i="7"/>
  <c r="U34" i="7"/>
  <c r="V34" i="7"/>
  <c r="W34" i="7"/>
  <c r="G35" i="7"/>
  <c r="H35" i="7"/>
  <c r="N35" i="7"/>
  <c r="I35" i="7"/>
  <c r="J35" i="7"/>
  <c r="K35" i="7"/>
  <c r="L35" i="7"/>
  <c r="M35" i="7"/>
  <c r="O35" i="7"/>
  <c r="P35" i="7"/>
  <c r="Q35" i="7"/>
  <c r="R35" i="7"/>
  <c r="S35" i="7"/>
  <c r="T35" i="7"/>
  <c r="U35" i="7"/>
  <c r="V35" i="7"/>
  <c r="W35" i="7"/>
  <c r="G36" i="7"/>
  <c r="H36" i="7"/>
  <c r="N36" i="7"/>
  <c r="I36" i="7"/>
  <c r="J36" i="7"/>
  <c r="K36" i="7"/>
  <c r="L36" i="7"/>
  <c r="M36" i="7"/>
  <c r="O36" i="7"/>
  <c r="P36" i="7"/>
  <c r="Q36" i="7"/>
  <c r="R36" i="7"/>
  <c r="S36" i="7"/>
  <c r="T36" i="7"/>
  <c r="U36" i="7"/>
  <c r="V36" i="7"/>
  <c r="W36" i="7"/>
  <c r="G37" i="7"/>
  <c r="H37" i="7"/>
  <c r="N37" i="7"/>
  <c r="I37" i="7"/>
  <c r="J37" i="7"/>
  <c r="K37" i="7"/>
  <c r="L37" i="7"/>
  <c r="M37" i="7"/>
  <c r="O37" i="7"/>
  <c r="P37" i="7"/>
  <c r="Q37" i="7"/>
  <c r="R37" i="7"/>
  <c r="S37" i="7"/>
  <c r="T37" i="7"/>
  <c r="U37" i="7"/>
  <c r="V37" i="7"/>
  <c r="W37" i="7"/>
  <c r="G38" i="7"/>
  <c r="H38" i="7"/>
  <c r="N38" i="7"/>
  <c r="I38" i="7"/>
  <c r="J38" i="7"/>
  <c r="K38" i="7"/>
  <c r="L38" i="7"/>
  <c r="M38" i="7"/>
  <c r="O38" i="7"/>
  <c r="P38" i="7"/>
  <c r="Q38" i="7"/>
  <c r="R38" i="7"/>
  <c r="S38" i="7"/>
  <c r="T38" i="7"/>
  <c r="U38" i="7"/>
  <c r="V38" i="7"/>
  <c r="W38" i="7"/>
  <c r="G39" i="7"/>
  <c r="H39" i="7"/>
  <c r="N39" i="7"/>
  <c r="I39" i="7"/>
  <c r="J39" i="7"/>
  <c r="K39" i="7"/>
  <c r="L39" i="7"/>
  <c r="M39" i="7"/>
  <c r="O39" i="7"/>
  <c r="P39" i="7"/>
  <c r="Q39" i="7"/>
  <c r="R39" i="7"/>
  <c r="S39" i="7"/>
  <c r="T39" i="7"/>
  <c r="U39" i="7"/>
  <c r="V39" i="7"/>
  <c r="W39" i="7"/>
  <c r="G40" i="7"/>
  <c r="H40" i="7"/>
  <c r="N40" i="7"/>
  <c r="I40" i="7"/>
  <c r="J40" i="7"/>
  <c r="K40" i="7"/>
  <c r="L40" i="7"/>
  <c r="M40" i="7"/>
  <c r="O40" i="7"/>
  <c r="P40" i="7"/>
  <c r="Q40" i="7"/>
  <c r="R40" i="7"/>
  <c r="S40" i="7"/>
  <c r="T40" i="7"/>
  <c r="U40" i="7"/>
  <c r="V40" i="7"/>
  <c r="W40" i="7"/>
  <c r="G41" i="7"/>
  <c r="H41" i="7"/>
  <c r="N41" i="7"/>
  <c r="I41" i="7"/>
  <c r="J41" i="7"/>
  <c r="K41" i="7"/>
  <c r="L41" i="7"/>
  <c r="M41" i="7"/>
  <c r="O41" i="7"/>
  <c r="P41" i="7"/>
  <c r="Q41" i="7"/>
  <c r="R41" i="7"/>
  <c r="S41" i="7"/>
  <c r="T41" i="7"/>
  <c r="U41" i="7"/>
  <c r="V41" i="7"/>
  <c r="W41" i="7"/>
  <c r="G42" i="7"/>
  <c r="H42" i="7"/>
  <c r="N42" i="7"/>
  <c r="I42" i="7"/>
  <c r="J42" i="7"/>
  <c r="K42" i="7"/>
  <c r="L42" i="7"/>
  <c r="M42" i="7"/>
  <c r="O42" i="7"/>
  <c r="P42" i="7"/>
  <c r="Q42" i="7"/>
  <c r="R42" i="7"/>
  <c r="S42" i="7"/>
  <c r="T42" i="7"/>
  <c r="U42" i="7"/>
  <c r="V42" i="7"/>
  <c r="W42" i="7"/>
  <c r="G43" i="7"/>
  <c r="H43" i="7"/>
  <c r="N43" i="7"/>
  <c r="I43" i="7"/>
  <c r="J43" i="7"/>
  <c r="K43" i="7"/>
  <c r="L43" i="7"/>
  <c r="M43" i="7"/>
  <c r="O43" i="7"/>
  <c r="P43" i="7"/>
  <c r="Q43" i="7"/>
  <c r="R43" i="7"/>
  <c r="S43" i="7"/>
  <c r="T43" i="7"/>
  <c r="U43" i="7"/>
  <c r="V43" i="7"/>
  <c r="W43" i="7"/>
  <c r="G44" i="7"/>
  <c r="H44" i="7"/>
  <c r="N44" i="7"/>
  <c r="I44" i="7"/>
  <c r="J44" i="7"/>
  <c r="K44" i="7"/>
  <c r="L44" i="7"/>
  <c r="M44" i="7"/>
  <c r="O44" i="7"/>
  <c r="P44" i="7"/>
  <c r="Q44" i="7"/>
  <c r="R44" i="7"/>
  <c r="S44" i="7"/>
  <c r="T44" i="7"/>
  <c r="U44" i="7"/>
  <c r="V44" i="7"/>
  <c r="W44" i="7"/>
  <c r="G45" i="7"/>
  <c r="H45" i="7"/>
  <c r="N45" i="7"/>
  <c r="I45" i="7"/>
  <c r="J45" i="7"/>
  <c r="K45" i="7"/>
  <c r="L45" i="7"/>
  <c r="M45" i="7"/>
  <c r="O45" i="7"/>
  <c r="P45" i="7"/>
  <c r="Q45" i="7"/>
  <c r="R45" i="7"/>
  <c r="S45" i="7"/>
  <c r="T45" i="7"/>
  <c r="U45" i="7"/>
  <c r="V45" i="7"/>
  <c r="W45" i="7"/>
  <c r="G46" i="7"/>
  <c r="H46" i="7"/>
  <c r="N46" i="7"/>
  <c r="I46" i="7"/>
  <c r="J46" i="7"/>
  <c r="K46" i="7"/>
  <c r="L46" i="7"/>
  <c r="M46" i="7"/>
  <c r="O46" i="7"/>
  <c r="P46" i="7"/>
  <c r="Q46" i="7"/>
  <c r="R46" i="7"/>
  <c r="S46" i="7"/>
  <c r="T46" i="7"/>
  <c r="U46" i="7"/>
  <c r="V46" i="7"/>
  <c r="W46" i="7"/>
  <c r="G47" i="7"/>
  <c r="H47" i="7"/>
  <c r="N47" i="7"/>
  <c r="I47" i="7"/>
  <c r="J47" i="7"/>
  <c r="K47" i="7"/>
  <c r="L47" i="7"/>
  <c r="M47" i="7"/>
  <c r="O47" i="7"/>
  <c r="P47" i="7"/>
  <c r="Q47" i="7"/>
  <c r="R47" i="7"/>
  <c r="S47" i="7"/>
  <c r="T47" i="7"/>
  <c r="U47" i="7"/>
  <c r="V47" i="7"/>
  <c r="W47" i="7"/>
  <c r="G76" i="7"/>
  <c r="H76" i="7"/>
  <c r="N76" i="7"/>
  <c r="I76" i="7"/>
  <c r="J76" i="7"/>
  <c r="K76" i="7"/>
  <c r="L76" i="7"/>
  <c r="M76" i="7"/>
  <c r="O76" i="7"/>
  <c r="P76" i="7"/>
  <c r="Q76" i="7"/>
  <c r="R76" i="7"/>
  <c r="S76" i="7"/>
  <c r="T76" i="7"/>
  <c r="U76" i="7"/>
  <c r="V76" i="7"/>
  <c r="W76" i="7"/>
  <c r="G77" i="7"/>
  <c r="H77" i="7"/>
  <c r="N77" i="7"/>
  <c r="I77" i="7"/>
  <c r="J77" i="7"/>
  <c r="K77" i="7"/>
  <c r="L77" i="7"/>
  <c r="M77" i="7"/>
  <c r="O77" i="7"/>
  <c r="P77" i="7"/>
  <c r="Q77" i="7"/>
  <c r="R77" i="7"/>
  <c r="S77" i="7"/>
  <c r="T77" i="7"/>
  <c r="U77" i="7"/>
  <c r="V77" i="7"/>
  <c r="W77" i="7"/>
  <c r="G48" i="7"/>
  <c r="H48" i="7"/>
  <c r="N48" i="7"/>
  <c r="I48" i="7"/>
  <c r="J48" i="7"/>
  <c r="K48" i="7"/>
  <c r="L48" i="7"/>
  <c r="M48" i="7"/>
  <c r="O48" i="7"/>
  <c r="P48" i="7"/>
  <c r="Q48" i="7"/>
  <c r="R48" i="7"/>
  <c r="S48" i="7"/>
  <c r="T48" i="7"/>
  <c r="U48" i="7"/>
  <c r="V48" i="7"/>
  <c r="W48" i="7"/>
  <c r="G79" i="7"/>
  <c r="H79" i="7"/>
  <c r="N79" i="7"/>
  <c r="I79" i="7"/>
  <c r="J79" i="7"/>
  <c r="K79" i="7"/>
  <c r="L79" i="7"/>
  <c r="M79" i="7"/>
  <c r="O79" i="7"/>
  <c r="P79" i="7"/>
  <c r="Q79" i="7"/>
  <c r="R79" i="7"/>
  <c r="S79" i="7"/>
  <c r="T79" i="7"/>
  <c r="U79" i="7"/>
  <c r="V79" i="7"/>
  <c r="W79" i="7"/>
  <c r="G49" i="7"/>
  <c r="H49" i="7"/>
  <c r="N49" i="7"/>
  <c r="I49" i="7"/>
  <c r="J49" i="7"/>
  <c r="K49" i="7"/>
  <c r="L49" i="7"/>
  <c r="M49" i="7"/>
  <c r="O49" i="7"/>
  <c r="P49" i="7"/>
  <c r="Q49" i="7"/>
  <c r="R49" i="7"/>
  <c r="S49" i="7"/>
  <c r="T49" i="7"/>
  <c r="U49" i="7"/>
  <c r="V49" i="7"/>
  <c r="W49" i="7"/>
  <c r="G50" i="7"/>
  <c r="H50" i="7"/>
  <c r="N50" i="7"/>
  <c r="I50" i="7"/>
  <c r="J50" i="7"/>
  <c r="K50" i="7"/>
  <c r="L50" i="7"/>
  <c r="M50" i="7"/>
  <c r="O50" i="7"/>
  <c r="P50" i="7"/>
  <c r="Q50" i="7"/>
  <c r="R50" i="7"/>
  <c r="S50" i="7"/>
  <c r="T50" i="7"/>
  <c r="U50" i="7"/>
  <c r="V50" i="7"/>
  <c r="W50" i="7"/>
  <c r="G51" i="7"/>
  <c r="H51" i="7"/>
  <c r="N51" i="7"/>
  <c r="I51" i="7"/>
  <c r="J51" i="7"/>
  <c r="K51" i="7"/>
  <c r="L51" i="7"/>
  <c r="M51" i="7"/>
  <c r="O51" i="7"/>
  <c r="P51" i="7"/>
  <c r="Q51" i="7"/>
  <c r="R51" i="7"/>
  <c r="S51" i="7"/>
  <c r="T51" i="7"/>
  <c r="U51" i="7"/>
  <c r="V51" i="7"/>
  <c r="W51" i="7"/>
  <c r="G82" i="7"/>
  <c r="H82" i="7"/>
  <c r="N82" i="7"/>
  <c r="I82" i="7"/>
  <c r="J82" i="7"/>
  <c r="K82" i="7"/>
  <c r="L82" i="7"/>
  <c r="M82" i="7"/>
  <c r="O82" i="7"/>
  <c r="P82" i="7"/>
  <c r="Q82" i="7"/>
  <c r="R82" i="7"/>
  <c r="S82" i="7"/>
  <c r="T82" i="7"/>
  <c r="U82" i="7"/>
  <c r="V82" i="7"/>
  <c r="W82" i="7"/>
  <c r="G84" i="7"/>
  <c r="H84" i="7"/>
  <c r="N84" i="7"/>
  <c r="I84" i="7"/>
  <c r="J84" i="7"/>
  <c r="K84" i="7"/>
  <c r="L84" i="7"/>
  <c r="M84" i="7"/>
  <c r="O84" i="7"/>
  <c r="P84" i="7"/>
  <c r="Q84" i="7"/>
  <c r="R84" i="7"/>
  <c r="S84" i="7"/>
  <c r="T84" i="7"/>
  <c r="U84" i="7"/>
  <c r="V84" i="7"/>
  <c r="W84" i="7"/>
  <c r="G52" i="7"/>
  <c r="H52" i="7"/>
  <c r="N52" i="7"/>
  <c r="I52" i="7"/>
  <c r="J52" i="7"/>
  <c r="K52" i="7"/>
  <c r="L52" i="7"/>
  <c r="M52" i="7"/>
  <c r="O52" i="7"/>
  <c r="P52" i="7"/>
  <c r="Q52" i="7"/>
  <c r="R52" i="7"/>
  <c r="S52" i="7"/>
  <c r="T52" i="7"/>
  <c r="U52" i="7"/>
  <c r="V52" i="7"/>
  <c r="W52" i="7"/>
  <c r="G53" i="7"/>
  <c r="H53" i="7"/>
  <c r="N53" i="7"/>
  <c r="I53" i="7"/>
  <c r="J53" i="7"/>
  <c r="K53" i="7"/>
  <c r="L53" i="7"/>
  <c r="M53" i="7"/>
  <c r="O53" i="7"/>
  <c r="P53" i="7"/>
  <c r="Q53" i="7"/>
  <c r="R53" i="7"/>
  <c r="S53" i="7"/>
  <c r="T53" i="7"/>
  <c r="U53" i="7"/>
  <c r="V53" i="7"/>
  <c r="W53" i="7"/>
  <c r="G54" i="7"/>
  <c r="H54" i="7"/>
  <c r="N54" i="7"/>
  <c r="I54" i="7"/>
  <c r="J54" i="7"/>
  <c r="K54" i="7"/>
  <c r="L54" i="7"/>
  <c r="M54" i="7"/>
  <c r="O54" i="7"/>
  <c r="P54" i="7"/>
  <c r="Q54" i="7"/>
  <c r="R54" i="7"/>
  <c r="S54" i="7"/>
  <c r="T54" i="7"/>
  <c r="U54" i="7"/>
  <c r="V54" i="7"/>
  <c r="W54" i="7"/>
  <c r="G55" i="7"/>
  <c r="H55" i="7"/>
  <c r="N55" i="7"/>
  <c r="I55" i="7"/>
  <c r="J55" i="7"/>
  <c r="K55" i="7"/>
  <c r="L55" i="7"/>
  <c r="M55" i="7"/>
  <c r="O55" i="7"/>
  <c r="P55" i="7"/>
  <c r="Q55" i="7"/>
  <c r="R55" i="7"/>
  <c r="S55" i="7"/>
  <c r="T55" i="7"/>
  <c r="U55" i="7"/>
  <c r="V55" i="7"/>
  <c r="W55" i="7"/>
  <c r="G56" i="7"/>
  <c r="H56" i="7"/>
  <c r="N56" i="7"/>
  <c r="I56" i="7"/>
  <c r="J56" i="7"/>
  <c r="K56" i="7"/>
  <c r="L56" i="7"/>
  <c r="M56" i="7"/>
  <c r="O56" i="7"/>
  <c r="P56" i="7"/>
  <c r="Q56" i="7"/>
  <c r="R56" i="7"/>
  <c r="S56" i="7"/>
  <c r="T56" i="7"/>
  <c r="U56" i="7"/>
  <c r="V56" i="7"/>
  <c r="W56" i="7"/>
  <c r="G57" i="7"/>
  <c r="H57" i="7"/>
  <c r="N57" i="7"/>
  <c r="I57" i="7"/>
  <c r="J57" i="7"/>
  <c r="K57" i="7"/>
  <c r="L57" i="7"/>
  <c r="M57" i="7"/>
  <c r="O57" i="7"/>
  <c r="P57" i="7"/>
  <c r="Q57" i="7"/>
  <c r="R57" i="7"/>
  <c r="S57" i="7"/>
  <c r="T57" i="7"/>
  <c r="U57" i="7"/>
  <c r="V57" i="7"/>
  <c r="W57" i="7"/>
  <c r="G58" i="7"/>
  <c r="H58" i="7"/>
  <c r="N58" i="7"/>
  <c r="I58" i="7"/>
  <c r="J58" i="7"/>
  <c r="K58" i="7"/>
  <c r="L58" i="7"/>
  <c r="M58" i="7"/>
  <c r="O58" i="7"/>
  <c r="P58" i="7"/>
  <c r="Q58" i="7"/>
  <c r="R58" i="7"/>
  <c r="S58" i="7"/>
  <c r="T58" i="7"/>
  <c r="U58" i="7"/>
  <c r="V58" i="7"/>
  <c r="W58" i="7"/>
  <c r="G87" i="7"/>
  <c r="H87" i="7"/>
  <c r="N87" i="7"/>
  <c r="I87" i="7"/>
  <c r="J87" i="7"/>
  <c r="K87" i="7"/>
  <c r="L87" i="7"/>
  <c r="M87" i="7"/>
  <c r="O87" i="7"/>
  <c r="P87" i="7"/>
  <c r="Q87" i="7"/>
  <c r="R87" i="7"/>
  <c r="S87" i="7"/>
  <c r="T87" i="7"/>
  <c r="U87" i="7"/>
  <c r="V87" i="7"/>
  <c r="W87" i="7"/>
  <c r="G59" i="7"/>
  <c r="H59" i="7"/>
  <c r="N59" i="7"/>
  <c r="I59" i="7"/>
  <c r="J59" i="7"/>
  <c r="K59" i="7"/>
  <c r="L59" i="7"/>
  <c r="M59" i="7"/>
  <c r="O59" i="7"/>
  <c r="P59" i="7"/>
  <c r="Q59" i="7"/>
  <c r="R59" i="7"/>
  <c r="S59" i="7"/>
  <c r="T59" i="7"/>
  <c r="U59" i="7"/>
  <c r="V59" i="7"/>
  <c r="W59" i="7"/>
  <c r="G60" i="7"/>
  <c r="H60" i="7"/>
  <c r="N60" i="7"/>
  <c r="I60" i="7"/>
  <c r="J60" i="7"/>
  <c r="K60" i="7"/>
  <c r="L60" i="7"/>
  <c r="M60" i="7"/>
  <c r="O60" i="7"/>
  <c r="P60" i="7"/>
  <c r="Q60" i="7"/>
  <c r="R60" i="7"/>
  <c r="S60" i="7"/>
  <c r="T60" i="7"/>
  <c r="U60" i="7"/>
  <c r="V60" i="7"/>
  <c r="W60" i="7"/>
  <c r="G61" i="7"/>
  <c r="H61" i="7"/>
  <c r="N61" i="7"/>
  <c r="I61" i="7"/>
  <c r="J61" i="7"/>
  <c r="K61" i="7"/>
  <c r="L61" i="7"/>
  <c r="M61" i="7"/>
  <c r="O61" i="7"/>
  <c r="P61" i="7"/>
  <c r="Q61" i="7"/>
  <c r="R61" i="7"/>
  <c r="S61" i="7"/>
  <c r="T61" i="7"/>
  <c r="U61" i="7"/>
  <c r="V61" i="7"/>
  <c r="W61" i="7"/>
  <c r="G62" i="7"/>
  <c r="H62" i="7"/>
  <c r="N62" i="7"/>
  <c r="I62" i="7"/>
  <c r="J62" i="7"/>
  <c r="K62" i="7"/>
  <c r="L62" i="7"/>
  <c r="M62" i="7"/>
  <c r="O62" i="7"/>
  <c r="P62" i="7"/>
  <c r="Q62" i="7"/>
  <c r="R62" i="7"/>
  <c r="S62" i="7"/>
  <c r="T62" i="7"/>
  <c r="U62" i="7"/>
  <c r="V62" i="7"/>
  <c r="W62" i="7"/>
  <c r="G63" i="7"/>
  <c r="H63" i="7"/>
  <c r="N63" i="7"/>
  <c r="I63" i="7"/>
  <c r="J63" i="7"/>
  <c r="K63" i="7"/>
  <c r="L63" i="7"/>
  <c r="M63" i="7"/>
  <c r="O63" i="7"/>
  <c r="P63" i="7"/>
  <c r="Q63" i="7"/>
  <c r="R63" i="7"/>
  <c r="S63" i="7"/>
  <c r="T63" i="7"/>
  <c r="U63" i="7"/>
  <c r="V63" i="7"/>
  <c r="W63" i="7"/>
  <c r="G64" i="7"/>
  <c r="H64" i="7"/>
  <c r="N64" i="7"/>
  <c r="I64" i="7"/>
  <c r="J64" i="7"/>
  <c r="K64" i="7"/>
  <c r="L64" i="7"/>
  <c r="M64" i="7"/>
  <c r="O64" i="7"/>
  <c r="P64" i="7"/>
  <c r="Q64" i="7"/>
  <c r="R64" i="7"/>
  <c r="S64" i="7"/>
  <c r="T64" i="7"/>
  <c r="U64" i="7"/>
  <c r="V64" i="7"/>
  <c r="W64" i="7"/>
  <c r="G65" i="7"/>
  <c r="H65" i="7"/>
  <c r="N65" i="7"/>
  <c r="I65" i="7"/>
  <c r="J65" i="7"/>
  <c r="K65" i="7"/>
  <c r="L65" i="7"/>
  <c r="M65" i="7"/>
  <c r="O65" i="7"/>
  <c r="P65" i="7"/>
  <c r="Q65" i="7"/>
  <c r="R65" i="7"/>
  <c r="S65" i="7"/>
  <c r="T65" i="7"/>
  <c r="U65" i="7"/>
  <c r="V65" i="7"/>
  <c r="W65" i="7"/>
  <c r="G66" i="7"/>
  <c r="H66" i="7"/>
  <c r="N66" i="7"/>
  <c r="I66" i="7"/>
  <c r="J66" i="7"/>
  <c r="K66" i="7"/>
  <c r="L66" i="7"/>
  <c r="M66" i="7"/>
  <c r="O66" i="7"/>
  <c r="P66" i="7"/>
  <c r="Q66" i="7"/>
  <c r="R66" i="7"/>
  <c r="S66" i="7"/>
  <c r="T66" i="7"/>
  <c r="U66" i="7"/>
  <c r="V66" i="7"/>
  <c r="W66" i="7"/>
  <c r="G67" i="7"/>
  <c r="H67" i="7"/>
  <c r="N67" i="7"/>
  <c r="I67" i="7"/>
  <c r="J67" i="7"/>
  <c r="K67" i="7"/>
  <c r="L67" i="7"/>
  <c r="M67" i="7"/>
  <c r="O67" i="7"/>
  <c r="P67" i="7"/>
  <c r="Q67" i="7"/>
  <c r="R67" i="7"/>
  <c r="S67" i="7"/>
  <c r="T67" i="7"/>
  <c r="U67" i="7"/>
  <c r="V67" i="7"/>
  <c r="W67" i="7"/>
  <c r="G68" i="7"/>
  <c r="H68" i="7"/>
  <c r="N68" i="7"/>
  <c r="I68" i="7"/>
  <c r="J68" i="7"/>
  <c r="K68" i="7"/>
  <c r="L68" i="7"/>
  <c r="M68" i="7"/>
  <c r="O68" i="7"/>
  <c r="P68" i="7"/>
  <c r="Q68" i="7"/>
  <c r="R68" i="7"/>
  <c r="S68" i="7"/>
  <c r="T68" i="7"/>
  <c r="U68" i="7"/>
  <c r="V68" i="7"/>
  <c r="W68" i="7"/>
  <c r="G69" i="7"/>
  <c r="H69" i="7"/>
  <c r="N69" i="7"/>
  <c r="I69" i="7"/>
  <c r="J69" i="7"/>
  <c r="K69" i="7"/>
  <c r="L69" i="7"/>
  <c r="M69" i="7"/>
  <c r="O69" i="7"/>
  <c r="P69" i="7"/>
  <c r="Q69" i="7"/>
  <c r="R69" i="7"/>
  <c r="S69" i="7"/>
  <c r="T69" i="7"/>
  <c r="U69" i="7"/>
  <c r="V69" i="7"/>
  <c r="W69" i="7"/>
  <c r="G70" i="7"/>
  <c r="H70" i="7"/>
  <c r="N70" i="7"/>
  <c r="I70" i="7"/>
  <c r="J70" i="7"/>
  <c r="K70" i="7"/>
  <c r="L70" i="7"/>
  <c r="M70" i="7"/>
  <c r="O70" i="7"/>
  <c r="P70" i="7"/>
  <c r="Q70" i="7"/>
  <c r="R70" i="7"/>
  <c r="S70" i="7"/>
  <c r="T70" i="7"/>
  <c r="U70" i="7"/>
  <c r="V70" i="7"/>
  <c r="W70" i="7"/>
  <c r="G71" i="7"/>
  <c r="H71" i="7"/>
  <c r="N71" i="7"/>
  <c r="I71" i="7"/>
  <c r="J71" i="7"/>
  <c r="K71" i="7"/>
  <c r="L71" i="7"/>
  <c r="M71" i="7"/>
  <c r="O71" i="7"/>
  <c r="P71" i="7"/>
  <c r="Q71" i="7"/>
  <c r="R71" i="7"/>
  <c r="S71" i="7"/>
  <c r="T71" i="7"/>
  <c r="U71" i="7"/>
  <c r="V71" i="7"/>
  <c r="W71" i="7"/>
  <c r="G72" i="7"/>
  <c r="H72" i="7"/>
  <c r="N72" i="7"/>
  <c r="I72" i="7"/>
  <c r="J72" i="7"/>
  <c r="K72" i="7"/>
  <c r="L72" i="7"/>
  <c r="M72" i="7"/>
  <c r="O72" i="7"/>
  <c r="P72" i="7"/>
  <c r="Q72" i="7"/>
  <c r="R72" i="7"/>
  <c r="S72" i="7"/>
  <c r="T72" i="7"/>
  <c r="U72" i="7"/>
  <c r="V72" i="7"/>
  <c r="W72" i="7"/>
  <c r="G73" i="7"/>
  <c r="H73" i="7"/>
  <c r="N73" i="7"/>
  <c r="I73" i="7"/>
  <c r="J73" i="7"/>
  <c r="K73" i="7"/>
  <c r="L73" i="7"/>
  <c r="M73" i="7"/>
  <c r="O73" i="7"/>
  <c r="P73" i="7"/>
  <c r="Q73" i="7"/>
  <c r="R73" i="7"/>
  <c r="S73" i="7"/>
  <c r="T73" i="7"/>
  <c r="U73" i="7"/>
  <c r="V73" i="7"/>
  <c r="W73" i="7"/>
  <c r="G74" i="7"/>
  <c r="H74" i="7"/>
  <c r="N74" i="7"/>
  <c r="I74" i="7"/>
  <c r="J74" i="7"/>
  <c r="K74" i="7"/>
  <c r="L74" i="7"/>
  <c r="M74" i="7"/>
  <c r="O74" i="7"/>
  <c r="P74" i="7"/>
  <c r="Q74" i="7"/>
  <c r="R74" i="7"/>
  <c r="S74" i="7"/>
  <c r="T74" i="7"/>
  <c r="U74" i="7"/>
  <c r="V74" i="7"/>
  <c r="W74" i="7"/>
  <c r="G88" i="7"/>
  <c r="H88" i="7"/>
  <c r="N88" i="7"/>
  <c r="I88" i="7"/>
  <c r="J88" i="7"/>
  <c r="K88" i="7"/>
  <c r="L88" i="7"/>
  <c r="M88" i="7"/>
  <c r="O88" i="7"/>
  <c r="P88" i="7"/>
  <c r="Q88" i="7"/>
  <c r="R88" i="7"/>
  <c r="S88" i="7"/>
  <c r="T88" i="7"/>
  <c r="U88" i="7"/>
  <c r="V88" i="7"/>
  <c r="W88" i="7"/>
  <c r="G89" i="7"/>
  <c r="H89" i="7"/>
  <c r="N89" i="7"/>
  <c r="I89" i="7"/>
  <c r="J89" i="7"/>
  <c r="K89" i="7"/>
  <c r="L89" i="7"/>
  <c r="M89" i="7"/>
  <c r="O89" i="7"/>
  <c r="P89" i="7"/>
  <c r="Q89" i="7"/>
  <c r="R89" i="7"/>
  <c r="S89" i="7"/>
  <c r="T89" i="7"/>
  <c r="U89" i="7"/>
  <c r="V89" i="7"/>
  <c r="W89" i="7"/>
  <c r="G90" i="7"/>
  <c r="H90" i="7"/>
  <c r="N90" i="7"/>
  <c r="I90" i="7"/>
  <c r="J90" i="7"/>
  <c r="K90" i="7"/>
  <c r="L90" i="7"/>
  <c r="M90" i="7"/>
  <c r="O90" i="7"/>
  <c r="P90" i="7"/>
  <c r="Q90" i="7"/>
  <c r="R90" i="7"/>
  <c r="S90" i="7"/>
  <c r="T90" i="7"/>
  <c r="U90" i="7"/>
  <c r="V90" i="7"/>
  <c r="W90" i="7"/>
  <c r="G91" i="7"/>
  <c r="H91" i="7"/>
  <c r="N91" i="7"/>
  <c r="I91" i="7"/>
  <c r="J91" i="7"/>
  <c r="K91" i="7"/>
  <c r="L91" i="7"/>
  <c r="M91" i="7"/>
  <c r="O91" i="7"/>
  <c r="P91" i="7"/>
  <c r="Q91" i="7"/>
  <c r="R91" i="7"/>
  <c r="S91" i="7"/>
  <c r="T91" i="7"/>
  <c r="U91" i="7"/>
  <c r="V91" i="7"/>
  <c r="W91" i="7"/>
  <c r="G92" i="7"/>
  <c r="H92" i="7"/>
  <c r="N92" i="7"/>
  <c r="I92" i="7"/>
  <c r="J92" i="7"/>
  <c r="K92" i="7"/>
  <c r="L92" i="7"/>
  <c r="M92" i="7"/>
  <c r="O92" i="7"/>
  <c r="P92" i="7"/>
  <c r="Q92" i="7"/>
  <c r="R92" i="7"/>
  <c r="S92" i="7"/>
  <c r="T92" i="7"/>
  <c r="U92" i="7"/>
  <c r="V92" i="7"/>
  <c r="W92" i="7"/>
  <c r="G93" i="7"/>
  <c r="H93" i="7"/>
  <c r="N93" i="7"/>
  <c r="I93" i="7"/>
  <c r="J93" i="7"/>
  <c r="K93" i="7"/>
  <c r="L93" i="7"/>
  <c r="M93" i="7"/>
  <c r="O93" i="7"/>
  <c r="P93" i="7"/>
  <c r="Q93" i="7"/>
  <c r="R93" i="7"/>
  <c r="S93" i="7"/>
  <c r="T93" i="7"/>
  <c r="U93" i="7"/>
  <c r="V93" i="7"/>
  <c r="W93" i="7"/>
  <c r="G94" i="7"/>
  <c r="H94" i="7"/>
  <c r="N94" i="7"/>
  <c r="I94" i="7"/>
  <c r="J94" i="7"/>
  <c r="K94" i="7"/>
  <c r="L94" i="7"/>
  <c r="M94" i="7"/>
  <c r="O94" i="7"/>
  <c r="P94" i="7"/>
  <c r="Q94" i="7"/>
  <c r="R94" i="7"/>
  <c r="S94" i="7"/>
  <c r="T94" i="7"/>
  <c r="U94" i="7"/>
  <c r="V94" i="7"/>
  <c r="W94" i="7"/>
  <c r="G95" i="7"/>
  <c r="H95" i="7"/>
  <c r="N95" i="7"/>
  <c r="I95" i="7"/>
  <c r="J95" i="7"/>
  <c r="K95" i="7"/>
  <c r="L95" i="7"/>
  <c r="M95" i="7"/>
  <c r="O95" i="7"/>
  <c r="P95" i="7"/>
  <c r="Q95" i="7"/>
  <c r="R95" i="7"/>
  <c r="S95" i="7"/>
  <c r="T95" i="7"/>
  <c r="U95" i="7"/>
  <c r="V95" i="7"/>
  <c r="W95" i="7"/>
  <c r="G96" i="7"/>
  <c r="H96" i="7"/>
  <c r="N96" i="7"/>
  <c r="I96" i="7"/>
  <c r="J96" i="7"/>
  <c r="K96" i="7"/>
  <c r="L96" i="7"/>
  <c r="M96" i="7"/>
  <c r="O96" i="7"/>
  <c r="P96" i="7"/>
  <c r="Q96" i="7"/>
  <c r="R96" i="7"/>
  <c r="S96" i="7"/>
  <c r="T96" i="7"/>
  <c r="U96" i="7"/>
  <c r="V96" i="7"/>
  <c r="W96" i="7"/>
  <c r="G97" i="7"/>
  <c r="H97" i="7"/>
  <c r="N97" i="7"/>
  <c r="I97" i="7"/>
  <c r="J97" i="7"/>
  <c r="K97" i="7"/>
  <c r="L97" i="7"/>
  <c r="M97" i="7"/>
  <c r="O97" i="7"/>
  <c r="P97" i="7"/>
  <c r="Q97" i="7"/>
  <c r="R97" i="7"/>
  <c r="S97" i="7"/>
  <c r="T97" i="7"/>
  <c r="U97" i="7"/>
  <c r="V97" i="7"/>
  <c r="W97" i="7"/>
  <c r="G98" i="7"/>
  <c r="H98" i="7"/>
  <c r="N98" i="7"/>
  <c r="I98" i="7"/>
  <c r="J98" i="7"/>
  <c r="K98" i="7"/>
  <c r="L98" i="7"/>
  <c r="M98" i="7"/>
  <c r="O98" i="7"/>
  <c r="P98" i="7"/>
  <c r="Q98" i="7"/>
  <c r="R98" i="7"/>
  <c r="S98" i="7"/>
  <c r="T98" i="7"/>
  <c r="U98" i="7"/>
  <c r="V98" i="7"/>
  <c r="W98" i="7"/>
  <c r="G99" i="7"/>
  <c r="H99" i="7"/>
  <c r="N99" i="7"/>
  <c r="I99" i="7"/>
  <c r="J99" i="7"/>
  <c r="K99" i="7"/>
  <c r="L99" i="7"/>
  <c r="M99" i="7"/>
  <c r="O99" i="7"/>
  <c r="P99" i="7"/>
  <c r="Q99" i="7"/>
  <c r="R99" i="7"/>
  <c r="S99" i="7"/>
  <c r="T99" i="7"/>
  <c r="U99" i="7"/>
  <c r="V99" i="7"/>
  <c r="W99" i="7"/>
  <c r="G100" i="7"/>
  <c r="H100" i="7"/>
  <c r="N100" i="7"/>
  <c r="I100" i="7"/>
  <c r="J100" i="7"/>
  <c r="K100" i="7"/>
  <c r="L100" i="7"/>
  <c r="M100" i="7"/>
  <c r="O100" i="7"/>
  <c r="P100" i="7"/>
  <c r="Q100" i="7"/>
  <c r="R100" i="7"/>
  <c r="S100" i="7"/>
  <c r="T100" i="7"/>
  <c r="U100" i="7"/>
  <c r="V100" i="7"/>
  <c r="W100" i="7"/>
  <c r="G101" i="7"/>
  <c r="H101" i="7"/>
  <c r="N101" i="7"/>
  <c r="I101" i="7"/>
  <c r="J101" i="7"/>
  <c r="K101" i="7"/>
  <c r="L101" i="7"/>
  <c r="M101" i="7"/>
  <c r="O101" i="7"/>
  <c r="P101" i="7"/>
  <c r="Q101" i="7"/>
  <c r="R101" i="7"/>
  <c r="S101" i="7"/>
  <c r="T101" i="7"/>
  <c r="U101" i="7"/>
  <c r="V101" i="7"/>
  <c r="W101" i="7"/>
  <c r="G102" i="7"/>
  <c r="H102" i="7"/>
  <c r="N102" i="7"/>
  <c r="I102" i="7"/>
  <c r="J102" i="7"/>
  <c r="K102" i="7"/>
  <c r="L102" i="7"/>
  <c r="M102" i="7"/>
  <c r="O102" i="7"/>
  <c r="P102" i="7"/>
  <c r="Q102" i="7"/>
  <c r="R102" i="7"/>
  <c r="S102" i="7"/>
  <c r="T102" i="7"/>
  <c r="U102" i="7"/>
  <c r="V102" i="7"/>
  <c r="W102" i="7"/>
  <c r="G103" i="7"/>
  <c r="H103" i="7"/>
  <c r="N103" i="7"/>
  <c r="I103" i="7"/>
  <c r="J103" i="7"/>
  <c r="K103" i="7"/>
  <c r="L103" i="7"/>
  <c r="M103" i="7"/>
  <c r="O103" i="7"/>
  <c r="P103" i="7"/>
  <c r="Q103" i="7"/>
  <c r="R103" i="7"/>
  <c r="S103" i="7"/>
  <c r="T103" i="7"/>
  <c r="U103" i="7"/>
  <c r="V103" i="7"/>
  <c r="W103" i="7"/>
  <c r="G104" i="7"/>
  <c r="H104" i="7"/>
  <c r="N104" i="7"/>
  <c r="I104" i="7"/>
  <c r="J104" i="7"/>
  <c r="K104" i="7"/>
  <c r="L104" i="7"/>
  <c r="M104" i="7"/>
  <c r="O104" i="7"/>
  <c r="P104" i="7"/>
  <c r="Q104" i="7"/>
  <c r="R104" i="7"/>
  <c r="S104" i="7"/>
  <c r="T104" i="7"/>
  <c r="U104" i="7"/>
  <c r="V104" i="7"/>
  <c r="W104" i="7"/>
  <c r="G105" i="7"/>
  <c r="H105" i="7"/>
  <c r="N105" i="7"/>
  <c r="I105" i="7"/>
  <c r="J105" i="7"/>
  <c r="K105" i="7"/>
  <c r="L105" i="7"/>
  <c r="M105" i="7"/>
  <c r="O105" i="7"/>
  <c r="P105" i="7"/>
  <c r="Q105" i="7"/>
  <c r="R105" i="7"/>
  <c r="S105" i="7"/>
  <c r="T105" i="7"/>
  <c r="U105" i="7"/>
  <c r="V105" i="7"/>
  <c r="W105" i="7"/>
  <c r="G106" i="7"/>
  <c r="H106" i="7"/>
  <c r="N106" i="7"/>
  <c r="I106" i="7"/>
  <c r="J106" i="7"/>
  <c r="K106" i="7"/>
  <c r="L106" i="7"/>
  <c r="M106" i="7"/>
  <c r="O106" i="7"/>
  <c r="P106" i="7"/>
  <c r="Q106" i="7"/>
  <c r="R106" i="7"/>
  <c r="S106" i="7"/>
  <c r="T106" i="7"/>
  <c r="U106" i="7"/>
  <c r="V106" i="7"/>
  <c r="W106" i="7"/>
  <c r="G107" i="7"/>
  <c r="H107" i="7"/>
  <c r="N107" i="7"/>
  <c r="I107" i="7"/>
  <c r="J107" i="7"/>
  <c r="K107" i="7"/>
  <c r="L107" i="7"/>
  <c r="M107" i="7"/>
  <c r="O107" i="7"/>
  <c r="P107" i="7"/>
  <c r="Q107" i="7"/>
  <c r="R107" i="7"/>
  <c r="S107" i="7"/>
  <c r="T107" i="7"/>
  <c r="U107" i="7"/>
  <c r="V107" i="7"/>
  <c r="W107" i="7"/>
  <c r="G108" i="7"/>
  <c r="H108" i="7"/>
  <c r="N108" i="7"/>
  <c r="I108" i="7"/>
  <c r="J108" i="7"/>
  <c r="K108" i="7"/>
  <c r="L108" i="7"/>
  <c r="M108" i="7"/>
  <c r="O108" i="7"/>
  <c r="P108" i="7"/>
  <c r="Q108" i="7"/>
  <c r="R108" i="7"/>
  <c r="S108" i="7"/>
  <c r="T108" i="7"/>
  <c r="U108" i="7"/>
  <c r="V108" i="7"/>
  <c r="W108" i="7"/>
  <c r="G109" i="7"/>
  <c r="H109" i="7"/>
  <c r="N109" i="7"/>
  <c r="I109" i="7"/>
  <c r="J109" i="7"/>
  <c r="K109" i="7"/>
  <c r="L109" i="7"/>
  <c r="M109" i="7"/>
  <c r="O109" i="7"/>
  <c r="P109" i="7"/>
  <c r="Q109" i="7"/>
  <c r="R109" i="7"/>
  <c r="S109" i="7"/>
  <c r="T109" i="7"/>
  <c r="U109" i="7"/>
  <c r="V109" i="7"/>
  <c r="W109" i="7"/>
  <c r="G110" i="7"/>
  <c r="H110" i="7"/>
  <c r="N110" i="7"/>
  <c r="I110" i="7"/>
  <c r="J110" i="7"/>
  <c r="K110" i="7"/>
  <c r="L110" i="7"/>
  <c r="M110" i="7"/>
  <c r="O110" i="7"/>
  <c r="P110" i="7"/>
  <c r="Q110" i="7"/>
  <c r="R110" i="7"/>
  <c r="S110" i="7"/>
  <c r="T110" i="7"/>
  <c r="U110" i="7"/>
  <c r="V110" i="7"/>
  <c r="W110" i="7"/>
  <c r="G111" i="7"/>
  <c r="H111" i="7"/>
  <c r="N111" i="7"/>
  <c r="I111" i="7"/>
  <c r="J111" i="7"/>
  <c r="K111" i="7"/>
  <c r="L111" i="7"/>
  <c r="M111" i="7"/>
  <c r="O111" i="7"/>
  <c r="P111" i="7"/>
  <c r="Q111" i="7"/>
  <c r="R111" i="7"/>
  <c r="S111" i="7"/>
  <c r="T111" i="7"/>
  <c r="U111" i="7"/>
  <c r="V111" i="7"/>
  <c r="W111" i="7"/>
  <c r="G112" i="7"/>
  <c r="H112" i="7"/>
  <c r="N112" i="7"/>
  <c r="I112" i="7"/>
  <c r="J112" i="7"/>
  <c r="K112" i="7"/>
  <c r="L112" i="7"/>
  <c r="M112" i="7"/>
  <c r="O112" i="7"/>
  <c r="P112" i="7"/>
  <c r="Q112" i="7"/>
  <c r="R112" i="7"/>
  <c r="S112" i="7"/>
  <c r="T112" i="7"/>
  <c r="U112" i="7"/>
  <c r="V112" i="7"/>
  <c r="W112" i="7"/>
  <c r="G113" i="7"/>
  <c r="H113" i="7"/>
  <c r="N113" i="7"/>
  <c r="I113" i="7"/>
  <c r="J113" i="7"/>
  <c r="K113" i="7"/>
  <c r="L113" i="7"/>
  <c r="M113" i="7"/>
  <c r="O113" i="7"/>
  <c r="P113" i="7"/>
  <c r="Q113" i="7"/>
  <c r="R113" i="7"/>
  <c r="S113" i="7"/>
  <c r="T113" i="7"/>
  <c r="U113" i="7"/>
  <c r="V113" i="7"/>
  <c r="W113" i="7"/>
  <c r="G114" i="7"/>
  <c r="H114" i="7"/>
  <c r="N114" i="7"/>
  <c r="I114" i="7"/>
  <c r="J114" i="7"/>
  <c r="K114" i="7"/>
  <c r="L114" i="7"/>
  <c r="M114" i="7"/>
  <c r="O114" i="7"/>
  <c r="P114" i="7"/>
  <c r="Q114" i="7"/>
  <c r="R114" i="7"/>
  <c r="S114" i="7"/>
  <c r="T114" i="7"/>
  <c r="U114" i="7"/>
  <c r="V114" i="7"/>
  <c r="W114" i="7"/>
  <c r="G115" i="7"/>
  <c r="H115" i="7"/>
  <c r="N115" i="7"/>
  <c r="I115" i="7"/>
  <c r="J115" i="7"/>
  <c r="K115" i="7"/>
  <c r="L115" i="7"/>
  <c r="M115" i="7"/>
  <c r="O115" i="7"/>
  <c r="P115" i="7"/>
  <c r="Q115" i="7"/>
  <c r="R115" i="7"/>
  <c r="S115" i="7"/>
  <c r="T115" i="7"/>
  <c r="U115" i="7"/>
  <c r="V115" i="7"/>
  <c r="W115" i="7"/>
  <c r="G116" i="7"/>
  <c r="H116" i="7"/>
  <c r="N116" i="7"/>
  <c r="I116" i="7"/>
  <c r="J116" i="7"/>
  <c r="K116" i="7"/>
  <c r="L116" i="7"/>
  <c r="M116" i="7"/>
  <c r="O116" i="7"/>
  <c r="P116" i="7"/>
  <c r="Q116" i="7"/>
  <c r="R116" i="7"/>
  <c r="S116" i="7"/>
  <c r="T116" i="7"/>
  <c r="U116" i="7"/>
  <c r="V116" i="7"/>
  <c r="W116" i="7"/>
  <c r="G117" i="7"/>
  <c r="H117" i="7"/>
  <c r="N117" i="7"/>
  <c r="I117" i="7"/>
  <c r="J117" i="7"/>
  <c r="K117" i="7"/>
  <c r="L117" i="7"/>
  <c r="M117" i="7"/>
  <c r="O117" i="7"/>
  <c r="P117" i="7"/>
  <c r="Q117" i="7"/>
  <c r="R117" i="7"/>
  <c r="S117" i="7"/>
  <c r="T117" i="7"/>
  <c r="U117" i="7"/>
  <c r="V117" i="7"/>
  <c r="W117" i="7"/>
  <c r="G118" i="7"/>
  <c r="H118" i="7"/>
  <c r="N118" i="7"/>
  <c r="I118" i="7"/>
  <c r="J118" i="7"/>
  <c r="K118" i="7"/>
  <c r="L118" i="7"/>
  <c r="M118" i="7"/>
  <c r="O118" i="7"/>
  <c r="P118" i="7"/>
  <c r="Q118" i="7"/>
  <c r="R118" i="7"/>
  <c r="S118" i="7"/>
  <c r="T118" i="7"/>
  <c r="U118" i="7"/>
  <c r="V118" i="7"/>
  <c r="W118" i="7"/>
  <c r="G119" i="7"/>
  <c r="H119" i="7"/>
  <c r="N119" i="7"/>
  <c r="I119" i="7"/>
  <c r="J119" i="7"/>
  <c r="K119" i="7"/>
  <c r="L119" i="7"/>
  <c r="M119" i="7"/>
  <c r="O119" i="7"/>
  <c r="P119" i="7"/>
  <c r="Q119" i="7"/>
  <c r="R119" i="7"/>
  <c r="S119" i="7"/>
  <c r="T119" i="7"/>
  <c r="U119" i="7"/>
  <c r="V119" i="7"/>
  <c r="W119" i="7"/>
  <c r="G120" i="7"/>
  <c r="H120" i="7"/>
  <c r="N120" i="7"/>
  <c r="I120" i="7"/>
  <c r="J120" i="7"/>
  <c r="K120" i="7"/>
  <c r="L120" i="7"/>
  <c r="M120" i="7"/>
  <c r="O120" i="7"/>
  <c r="P120" i="7"/>
  <c r="Q120" i="7"/>
  <c r="R120" i="7"/>
  <c r="S120" i="7"/>
  <c r="T120" i="7"/>
  <c r="U120" i="7"/>
  <c r="V120" i="7"/>
  <c r="W120" i="7"/>
  <c r="G121" i="7"/>
  <c r="H121" i="7"/>
  <c r="N121" i="7"/>
  <c r="I121" i="7"/>
  <c r="J121" i="7"/>
  <c r="K121" i="7"/>
  <c r="L121" i="7"/>
  <c r="M121" i="7"/>
  <c r="O121" i="7"/>
  <c r="P121" i="7"/>
  <c r="Q121" i="7"/>
  <c r="R121" i="7"/>
  <c r="S121" i="7"/>
  <c r="T121" i="7"/>
  <c r="U121" i="7"/>
  <c r="V121" i="7"/>
  <c r="W121" i="7"/>
  <c r="G122" i="7"/>
  <c r="H122" i="7"/>
  <c r="N122" i="7"/>
  <c r="I122" i="7"/>
  <c r="J122" i="7"/>
  <c r="K122" i="7"/>
  <c r="L122" i="7"/>
  <c r="M122" i="7"/>
  <c r="O122" i="7"/>
  <c r="P122" i="7"/>
  <c r="Q122" i="7"/>
  <c r="R122" i="7"/>
  <c r="S122" i="7"/>
  <c r="T122" i="7"/>
  <c r="U122" i="7"/>
  <c r="V122" i="7"/>
  <c r="W122" i="7"/>
  <c r="G123" i="7"/>
  <c r="H123" i="7"/>
  <c r="N123" i="7"/>
  <c r="I123" i="7"/>
  <c r="J123" i="7"/>
  <c r="K123" i="7"/>
  <c r="L123" i="7"/>
  <c r="M123" i="7"/>
  <c r="O123" i="7"/>
  <c r="P123" i="7"/>
  <c r="Q123" i="7"/>
  <c r="R123" i="7"/>
  <c r="S123" i="7"/>
  <c r="T123" i="7"/>
  <c r="U123" i="7"/>
  <c r="V123" i="7"/>
  <c r="W123" i="7"/>
  <c r="G124" i="7"/>
  <c r="H124" i="7"/>
  <c r="N124" i="7"/>
  <c r="I124" i="7"/>
  <c r="J124" i="7"/>
  <c r="K124" i="7"/>
  <c r="L124" i="7"/>
  <c r="M124" i="7"/>
  <c r="O124" i="7"/>
  <c r="P124" i="7"/>
  <c r="Q124" i="7"/>
  <c r="R124" i="7"/>
  <c r="S124" i="7"/>
  <c r="T124" i="7"/>
  <c r="U124" i="7"/>
  <c r="V124" i="7"/>
  <c r="W124" i="7"/>
  <c r="G125" i="7"/>
  <c r="H125" i="7"/>
  <c r="N125" i="7"/>
  <c r="I125" i="7"/>
  <c r="J125" i="7"/>
  <c r="K125" i="7"/>
  <c r="L125" i="7"/>
  <c r="M125" i="7"/>
  <c r="O125" i="7"/>
  <c r="P125" i="7"/>
  <c r="Q125" i="7"/>
  <c r="R125" i="7"/>
  <c r="S125" i="7"/>
  <c r="T125" i="7"/>
  <c r="U125" i="7"/>
  <c r="V125" i="7"/>
  <c r="W125" i="7"/>
  <c r="D15" i="8"/>
  <c r="H15" i="10"/>
  <c r="H14" i="10"/>
  <c r="H16" i="10"/>
  <c r="H17" i="10"/>
  <c r="K43" i="5"/>
  <c r="H11" i="10"/>
  <c r="H13" i="10"/>
  <c r="H12" i="10"/>
  <c r="D3" i="7"/>
  <c r="Q3" i="7"/>
  <c r="I24" i="10"/>
  <c r="I23" i="10"/>
  <c r="I22" i="10"/>
  <c r="I21" i="10"/>
  <c r="I20" i="10"/>
  <c r="I19" i="10"/>
  <c r="H18" i="4"/>
  <c r="H19" i="4"/>
  <c r="I16" i="10"/>
  <c r="I17" i="10"/>
  <c r="I12" i="10"/>
  <c r="I13" i="10"/>
  <c r="I14" i="10"/>
  <c r="I15" i="10"/>
  <c r="U3" i="7"/>
  <c r="S3" i="7"/>
  <c r="K38" i="5"/>
  <c r="K37" i="5"/>
  <c r="D14" i="8"/>
  <c r="D13" i="8"/>
  <c r="D12" i="8"/>
  <c r="F18" i="8"/>
  <c r="F13" i="8"/>
  <c r="G13" i="8"/>
  <c r="F14" i="8"/>
  <c r="G14" i="8"/>
  <c r="F19" i="8"/>
  <c r="F16" i="8"/>
  <c r="F17" i="8"/>
  <c r="F12" i="8"/>
  <c r="G12" i="8"/>
  <c r="J41" i="4"/>
  <c r="AB41" i="4"/>
  <c r="H17" i="4"/>
  <c r="J39" i="4"/>
  <c r="J40" i="4"/>
  <c r="AB40" i="4"/>
  <c r="AB39" i="4"/>
  <c r="G34" i="8"/>
  <c r="H3" i="5"/>
  <c r="G3" i="7"/>
  <c r="V3" i="7"/>
  <c r="T3" i="7"/>
  <c r="R3" i="7"/>
  <c r="P3" i="7"/>
  <c r="O3" i="7"/>
  <c r="H10" i="10"/>
  <c r="G30" i="8"/>
  <c r="D19" i="8"/>
  <c r="D16" i="8"/>
  <c r="D17" i="8"/>
  <c r="D18" i="8"/>
  <c r="I9" i="4"/>
  <c r="K65" i="4"/>
  <c r="I27" i="10"/>
  <c r="AC29" i="4"/>
  <c r="AC30" i="4"/>
  <c r="AC31" i="4"/>
  <c r="AC32" i="4"/>
  <c r="AC20" i="4"/>
  <c r="AC21" i="4"/>
  <c r="AB42" i="4"/>
  <c r="AB43" i="4"/>
  <c r="AB44" i="4"/>
  <c r="AB29" i="4"/>
  <c r="AB30" i="4"/>
  <c r="AB31" i="4"/>
  <c r="AB32" i="4"/>
  <c r="AB17" i="4"/>
  <c r="AB18" i="4"/>
  <c r="AB19" i="4"/>
  <c r="AB20" i="4"/>
  <c r="AB21" i="4"/>
  <c r="G33" i="8"/>
  <c r="I4" i="4"/>
  <c r="I5" i="4"/>
  <c r="J37" i="4"/>
  <c r="J38" i="4"/>
  <c r="AB45" i="4"/>
  <c r="AB37" i="4"/>
  <c r="J36" i="4"/>
  <c r="AB24" i="4"/>
  <c r="H13" i="4"/>
  <c r="H14" i="4"/>
  <c r="H15" i="4"/>
  <c r="H16" i="4"/>
  <c r="H12" i="4"/>
  <c r="I3" i="5"/>
  <c r="E3" i="7"/>
  <c r="AB36" i="4"/>
  <c r="AB38" i="4"/>
  <c r="AB13" i="4"/>
  <c r="AB27" i="4"/>
  <c r="AB26" i="4"/>
  <c r="AB16" i="4"/>
  <c r="AB25" i="4"/>
  <c r="AB15" i="4"/>
  <c r="AB14" i="4"/>
  <c r="AB12" i="4"/>
  <c r="N3" i="7"/>
  <c r="I3" i="7"/>
  <c r="W3" i="7"/>
  <c r="K27" i="4"/>
  <c r="Y27" i="4"/>
  <c r="K29" i="4"/>
  <c r="Y29" i="4"/>
  <c r="K30" i="4"/>
  <c r="Y30" i="4"/>
  <c r="K31" i="4"/>
  <c r="Y31" i="4"/>
  <c r="K32" i="4"/>
  <c r="Y32" i="4"/>
  <c r="H33" i="4"/>
  <c r="J33" i="4"/>
  <c r="K12" i="4"/>
  <c r="K13" i="4"/>
  <c r="K14" i="4"/>
  <c r="K15" i="4"/>
  <c r="K16" i="4"/>
  <c r="K17" i="4"/>
  <c r="E15" i="10"/>
  <c r="K18" i="4"/>
  <c r="E16" i="10"/>
  <c r="K21" i="4"/>
  <c r="Y13" i="4"/>
  <c r="Y14" i="4"/>
  <c r="Y15" i="4"/>
  <c r="Y16" i="4"/>
  <c r="Y17" i="4"/>
  <c r="Y18" i="4"/>
  <c r="Y21" i="4"/>
  <c r="Y25" i="4"/>
  <c r="Y26" i="4"/>
  <c r="Y20" i="4"/>
  <c r="Y19" i="4"/>
  <c r="B5" i="9"/>
  <c r="E2" i="4"/>
  <c r="E4" i="4"/>
  <c r="E3" i="4"/>
  <c r="E14" i="4"/>
  <c r="E15" i="4"/>
  <c r="E16" i="4"/>
  <c r="E17" i="4"/>
  <c r="E18" i="4"/>
  <c r="E13" i="4"/>
  <c r="F2" i="4"/>
  <c r="F4" i="4"/>
  <c r="F3" i="4"/>
  <c r="F14" i="4"/>
  <c r="F15" i="4"/>
  <c r="F16" i="4"/>
  <c r="F17" i="4"/>
  <c r="F18" i="4"/>
  <c r="F13" i="4"/>
  <c r="L12" i="4"/>
  <c r="L13" i="4"/>
  <c r="L14" i="4"/>
  <c r="L15" i="4"/>
  <c r="L16" i="4"/>
  <c r="L17" i="4"/>
  <c r="L18" i="4"/>
  <c r="L19" i="4"/>
  <c r="L20" i="4"/>
  <c r="L21" i="4"/>
  <c r="L25" i="4"/>
  <c r="K25" i="4"/>
  <c r="L24" i="4"/>
  <c r="X24" i="4"/>
  <c r="L26" i="4"/>
  <c r="L27" i="4"/>
  <c r="X27" i="4"/>
  <c r="L28" i="4"/>
  <c r="X28" i="4"/>
  <c r="L29" i="4"/>
  <c r="L30" i="4"/>
  <c r="L31" i="4"/>
  <c r="X31" i="4"/>
  <c r="L32" i="4"/>
  <c r="L33" i="4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F6" i="9"/>
  <c r="F7" i="9"/>
  <c r="F8" i="9"/>
  <c r="F9" i="9"/>
  <c r="F10" i="9"/>
  <c r="F11" i="9"/>
  <c r="F12" i="9"/>
  <c r="F13" i="9"/>
  <c r="F14" i="9"/>
  <c r="F15" i="9"/>
  <c r="F16" i="9"/>
  <c r="F17" i="9"/>
  <c r="K6" i="9"/>
  <c r="K7" i="9"/>
  <c r="K8" i="9"/>
  <c r="K9" i="9"/>
  <c r="K10" i="9"/>
  <c r="K11" i="9"/>
  <c r="K12" i="9"/>
  <c r="K13" i="9"/>
  <c r="K14" i="9"/>
  <c r="K15" i="9"/>
  <c r="K16" i="9"/>
  <c r="K17" i="9"/>
  <c r="R36" i="4"/>
  <c r="R37" i="4"/>
  <c r="R38" i="4"/>
  <c r="R39" i="4"/>
  <c r="E30" i="10"/>
  <c r="R40" i="4"/>
  <c r="R41" i="4"/>
  <c r="R42" i="4"/>
  <c r="S42" i="4"/>
  <c r="R43" i="4"/>
  <c r="S43" i="4"/>
  <c r="R44" i="4"/>
  <c r="S44" i="4"/>
  <c r="R45" i="4"/>
  <c r="S45" i="4"/>
  <c r="R29" i="4"/>
  <c r="S29" i="4"/>
  <c r="R30" i="4"/>
  <c r="S30" i="4"/>
  <c r="R31" i="4"/>
  <c r="S31" i="4"/>
  <c r="R32" i="4"/>
  <c r="S32" i="4"/>
  <c r="R21" i="4"/>
  <c r="S21" i="4"/>
  <c r="E12" i="4"/>
  <c r="E19" i="4"/>
  <c r="F12" i="4"/>
  <c r="F19" i="4"/>
  <c r="K19" i="4"/>
  <c r="E17" i="10"/>
  <c r="K20" i="4"/>
  <c r="K26" i="4"/>
  <c r="E25" i="5"/>
  <c r="D25" i="5"/>
  <c r="C25" i="5"/>
  <c r="E5" i="4"/>
  <c r="E6" i="4"/>
  <c r="E7" i="4"/>
  <c r="E8" i="4"/>
  <c r="E9" i="4"/>
  <c r="E10" i="4"/>
  <c r="E11" i="4"/>
  <c r="F5" i="4"/>
  <c r="F6" i="4"/>
  <c r="F7" i="4"/>
  <c r="F8" i="4"/>
  <c r="F9" i="4"/>
  <c r="F10" i="4"/>
  <c r="F11" i="4"/>
  <c r="R20" i="4"/>
  <c r="S20" i="4"/>
  <c r="J50" i="4"/>
  <c r="J61" i="4"/>
  <c r="E21" i="8"/>
  <c r="G21" i="8"/>
  <c r="C26" i="8"/>
  <c r="H29" i="8"/>
  <c r="I29" i="8"/>
  <c r="C8" i="8"/>
  <c r="J28" i="8"/>
  <c r="K28" i="8"/>
  <c r="I28" i="8"/>
  <c r="G32" i="8"/>
  <c r="G20" i="8"/>
  <c r="G31" i="8"/>
  <c r="G29" i="8"/>
  <c r="G28" i="8"/>
  <c r="G16" i="8"/>
  <c r="C6" i="8"/>
  <c r="C11" i="8"/>
  <c r="D5" i="8"/>
  <c r="D4" i="8"/>
  <c r="D3" i="8"/>
  <c r="D2" i="8"/>
  <c r="G19" i="8"/>
  <c r="G18" i="8"/>
  <c r="G17" i="8"/>
  <c r="G15" i="8"/>
  <c r="J12" i="5"/>
  <c r="J13" i="5"/>
  <c r="J14" i="5"/>
  <c r="J15" i="5"/>
  <c r="J16" i="5"/>
  <c r="J17" i="5"/>
  <c r="J18" i="5"/>
  <c r="J19" i="5"/>
  <c r="J20" i="5"/>
  <c r="J21" i="5"/>
  <c r="AB13" i="1"/>
  <c r="X9" i="1"/>
  <c r="Z42" i="1"/>
  <c r="Z44" i="1"/>
  <c r="Y50" i="1"/>
  <c r="X62" i="1"/>
  <c r="AA71" i="1"/>
  <c r="X78" i="1"/>
  <c r="Y12" i="4"/>
  <c r="S7" i="1"/>
  <c r="T9" i="1"/>
  <c r="W19" i="1"/>
  <c r="S22" i="1"/>
  <c r="V23" i="1"/>
  <c r="S28" i="1"/>
  <c r="S31" i="1"/>
  <c r="V32" i="1"/>
  <c r="U36" i="1"/>
  <c r="V47" i="1"/>
  <c r="T49" i="1"/>
  <c r="U52" i="1"/>
  <c r="U54" i="1"/>
  <c r="W55" i="1"/>
  <c r="U62" i="1"/>
  <c r="S68" i="1"/>
  <c r="S74" i="1"/>
  <c r="W77" i="1"/>
  <c r="W3" i="1"/>
  <c r="P69" i="1"/>
  <c r="P70" i="1"/>
  <c r="X70" i="1"/>
  <c r="P71" i="1"/>
  <c r="P72" i="1"/>
  <c r="P73" i="1"/>
  <c r="T73" i="1"/>
  <c r="P74" i="1"/>
  <c r="P75" i="1"/>
  <c r="T75" i="1"/>
  <c r="P76" i="1"/>
  <c r="P77" i="1"/>
  <c r="V77" i="1"/>
  <c r="P78" i="1"/>
  <c r="P79" i="1"/>
  <c r="P80" i="1"/>
  <c r="P68" i="1"/>
  <c r="X68" i="1"/>
  <c r="P56" i="1"/>
  <c r="P57" i="1"/>
  <c r="P58" i="1"/>
  <c r="P59" i="1"/>
  <c r="P60" i="1"/>
  <c r="X60" i="1"/>
  <c r="P61" i="1"/>
  <c r="P62" i="1"/>
  <c r="P63" i="1"/>
  <c r="P64" i="1"/>
  <c r="W64" i="1"/>
  <c r="P65" i="1"/>
  <c r="P66" i="1"/>
  <c r="P67" i="1"/>
  <c r="P55" i="1"/>
  <c r="T55" i="1"/>
  <c r="P43" i="1"/>
  <c r="AB43" i="1"/>
  <c r="P44" i="1"/>
  <c r="P45" i="1"/>
  <c r="P46" i="1"/>
  <c r="Y46" i="1"/>
  <c r="P47" i="1"/>
  <c r="X47" i="1"/>
  <c r="P48" i="1"/>
  <c r="Z48" i="1"/>
  <c r="P49" i="1"/>
  <c r="X49" i="1"/>
  <c r="P50" i="1"/>
  <c r="P51" i="1"/>
  <c r="P52" i="1"/>
  <c r="P53" i="1"/>
  <c r="X53" i="1"/>
  <c r="P54" i="1"/>
  <c r="Y54" i="1"/>
  <c r="P42" i="1"/>
  <c r="U42" i="1"/>
  <c r="P30" i="1"/>
  <c r="P31" i="1"/>
  <c r="X31" i="1"/>
  <c r="P32" i="1"/>
  <c r="Z32" i="1"/>
  <c r="P33" i="1"/>
  <c r="P34" i="1"/>
  <c r="P35" i="1"/>
  <c r="P36" i="1"/>
  <c r="Y36" i="1"/>
  <c r="P37" i="1"/>
  <c r="AB37" i="1"/>
  <c r="P38" i="1"/>
  <c r="Y38" i="1"/>
  <c r="P39" i="1"/>
  <c r="V39" i="1"/>
  <c r="P40" i="1"/>
  <c r="P41" i="1"/>
  <c r="P29" i="1"/>
  <c r="P17" i="1"/>
  <c r="T17" i="1"/>
  <c r="P18" i="1"/>
  <c r="U18" i="1"/>
  <c r="P19" i="1"/>
  <c r="P20" i="1"/>
  <c r="P21" i="1"/>
  <c r="P22" i="1"/>
  <c r="P23" i="1"/>
  <c r="T23" i="1"/>
  <c r="P24" i="1"/>
  <c r="P25" i="1"/>
  <c r="P26" i="1"/>
  <c r="T26" i="1"/>
  <c r="P27" i="1"/>
  <c r="AB27" i="1"/>
  <c r="P28" i="1"/>
  <c r="P16" i="1"/>
  <c r="Z16" i="1"/>
  <c r="P4" i="1"/>
  <c r="Z4" i="1"/>
  <c r="P5" i="1"/>
  <c r="P6" i="1"/>
  <c r="P7" i="1"/>
  <c r="X7" i="1"/>
  <c r="P8" i="1"/>
  <c r="V8" i="1"/>
  <c r="P9" i="1"/>
  <c r="P10" i="1"/>
  <c r="T10" i="1"/>
  <c r="P11" i="1"/>
  <c r="P12" i="1"/>
  <c r="P13" i="1"/>
  <c r="P14" i="1"/>
  <c r="P15" i="1"/>
  <c r="P3" i="1"/>
  <c r="U3" i="1"/>
  <c r="N2" i="1"/>
  <c r="M2" i="1"/>
  <c r="L2" i="1"/>
  <c r="J2" i="1"/>
  <c r="I2" i="1"/>
  <c r="H2" i="1"/>
  <c r="Q80" i="1"/>
  <c r="S80" i="1"/>
  <c r="Q69" i="1"/>
  <c r="S69" i="1"/>
  <c r="Q70" i="1"/>
  <c r="S70" i="1"/>
  <c r="Q71" i="1"/>
  <c r="S71" i="1"/>
  <c r="Q72" i="1"/>
  <c r="S72" i="1"/>
  <c r="Q73" i="1"/>
  <c r="S73" i="1"/>
  <c r="Q74" i="1"/>
  <c r="W74" i="1"/>
  <c r="Q75" i="1"/>
  <c r="V75" i="1"/>
  <c r="Q76" i="1"/>
  <c r="S76" i="1"/>
  <c r="Q77" i="1"/>
  <c r="S77" i="1"/>
  <c r="Q78" i="1"/>
  <c r="S78" i="1"/>
  <c r="Q79" i="1"/>
  <c r="S79" i="1"/>
  <c r="Q68" i="1"/>
  <c r="Q56" i="1"/>
  <c r="S56" i="1"/>
  <c r="R56" i="1"/>
  <c r="Q57" i="1"/>
  <c r="S57" i="1"/>
  <c r="Q58" i="1"/>
  <c r="S58" i="1"/>
  <c r="R58" i="1"/>
  <c r="Q59" i="1"/>
  <c r="S59" i="1"/>
  <c r="R59" i="1"/>
  <c r="Q60" i="1"/>
  <c r="S60" i="1"/>
  <c r="R60" i="1"/>
  <c r="Q61" i="1"/>
  <c r="S61" i="1"/>
  <c r="Q62" i="1"/>
  <c r="S62" i="1"/>
  <c r="R62" i="1"/>
  <c r="Q63" i="1"/>
  <c r="S63" i="1"/>
  <c r="Q64" i="1"/>
  <c r="S64" i="1"/>
  <c r="R64" i="1"/>
  <c r="Q65" i="1"/>
  <c r="U65" i="1"/>
  <c r="Q66" i="1"/>
  <c r="S66" i="1"/>
  <c r="Q67" i="1"/>
  <c r="S67" i="1"/>
  <c r="R67" i="1"/>
  <c r="R55" i="1"/>
  <c r="Q55" i="1"/>
  <c r="S55" i="1"/>
  <c r="Q43" i="1"/>
  <c r="S43" i="1"/>
  <c r="Q44" i="1"/>
  <c r="S44" i="1"/>
  <c r="Q45" i="1"/>
  <c r="S45" i="1"/>
  <c r="Q46" i="1"/>
  <c r="S46" i="1"/>
  <c r="Q47" i="1"/>
  <c r="S47" i="1"/>
  <c r="Q48" i="1"/>
  <c r="S48" i="1"/>
  <c r="Q49" i="1"/>
  <c r="S49" i="1"/>
  <c r="Q50" i="1"/>
  <c r="S50" i="1"/>
  <c r="Q51" i="1"/>
  <c r="S51" i="1"/>
  <c r="Q52" i="1"/>
  <c r="S52" i="1"/>
  <c r="Q53" i="1"/>
  <c r="S53" i="1"/>
  <c r="Q54" i="1"/>
  <c r="S54" i="1"/>
  <c r="Q42" i="1"/>
  <c r="S42" i="1"/>
  <c r="Q30" i="1"/>
  <c r="Z30" i="1"/>
  <c r="R30" i="1"/>
  <c r="Q31" i="1"/>
  <c r="Q32" i="1"/>
  <c r="S32" i="1"/>
  <c r="R32" i="1"/>
  <c r="Q33" i="1"/>
  <c r="S33" i="1"/>
  <c r="Q34" i="1"/>
  <c r="S34" i="1"/>
  <c r="R34" i="1"/>
  <c r="Q35" i="1"/>
  <c r="S35" i="1"/>
  <c r="R35" i="1"/>
  <c r="Q36" i="1"/>
  <c r="S36" i="1"/>
  <c r="R36" i="1"/>
  <c r="Q37" i="1"/>
  <c r="S37" i="1"/>
  <c r="Q38" i="1"/>
  <c r="S38" i="1"/>
  <c r="R38" i="1"/>
  <c r="Q39" i="1"/>
  <c r="S39" i="1"/>
  <c r="R39" i="1"/>
  <c r="T39" i="1"/>
  <c r="Q40" i="1"/>
  <c r="S40" i="1"/>
  <c r="Q41" i="1"/>
  <c r="S41" i="1"/>
  <c r="R29" i="1"/>
  <c r="Q29" i="1"/>
  <c r="S29" i="1"/>
  <c r="Q17" i="1"/>
  <c r="S17" i="1"/>
  <c r="Q18" i="1"/>
  <c r="S18" i="1"/>
  <c r="Q19" i="1"/>
  <c r="S19" i="1"/>
  <c r="Q20" i="1"/>
  <c r="S20" i="1"/>
  <c r="Q21" i="1"/>
  <c r="S21" i="1"/>
  <c r="Q22" i="1"/>
  <c r="Q23" i="1"/>
  <c r="S23" i="1"/>
  <c r="Q24" i="1"/>
  <c r="S24" i="1"/>
  <c r="Q25" i="1"/>
  <c r="S25" i="1"/>
  <c r="Q26" i="1"/>
  <c r="S26" i="1"/>
  <c r="Q27" i="1"/>
  <c r="S27" i="1"/>
  <c r="Q28" i="1"/>
  <c r="Q16" i="1"/>
  <c r="S16" i="1"/>
  <c r="Q4" i="1"/>
  <c r="S4" i="1"/>
  <c r="R4" i="1"/>
  <c r="Q5" i="1"/>
  <c r="S5" i="1"/>
  <c r="Q6" i="1"/>
  <c r="Z6" i="1"/>
  <c r="R6" i="1"/>
  <c r="Q7" i="1"/>
  <c r="R7" i="1"/>
  <c r="Q8" i="1"/>
  <c r="S8" i="1"/>
  <c r="R8" i="1"/>
  <c r="Q9" i="1"/>
  <c r="S9" i="1"/>
  <c r="R9" i="1"/>
  <c r="Q10" i="1"/>
  <c r="S10" i="1"/>
  <c r="R10" i="1"/>
  <c r="Q11" i="1"/>
  <c r="S11" i="1"/>
  <c r="Q12" i="1"/>
  <c r="S12" i="1"/>
  <c r="R12" i="1"/>
  <c r="Q13" i="1"/>
  <c r="S13" i="1"/>
  <c r="R13" i="1"/>
  <c r="Q14" i="1"/>
  <c r="Q15" i="1"/>
  <c r="S15" i="1"/>
  <c r="R3" i="1"/>
  <c r="Q3" i="1"/>
  <c r="S3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I7" i="1"/>
  <c r="R33" i="1"/>
  <c r="X33" i="1"/>
  <c r="M7" i="1"/>
  <c r="I9" i="1"/>
  <c r="M9" i="1"/>
  <c r="R61" i="1"/>
  <c r="I11" i="1"/>
  <c r="R37" i="1"/>
  <c r="X37" i="1"/>
  <c r="M11" i="1"/>
  <c r="R63" i="1"/>
  <c r="I13" i="1"/>
  <c r="M13" i="1"/>
  <c r="R65" i="1"/>
  <c r="I14" i="1"/>
  <c r="R40" i="1"/>
  <c r="W40" i="1"/>
  <c r="M14" i="1"/>
  <c r="R66" i="1"/>
  <c r="I15" i="1"/>
  <c r="R41" i="1"/>
  <c r="M15" i="1"/>
  <c r="M5" i="1"/>
  <c r="R57" i="1"/>
  <c r="I5" i="1"/>
  <c r="R31" i="1"/>
  <c r="E7" i="1"/>
  <c r="E9" i="1"/>
  <c r="E11" i="1"/>
  <c r="R11" i="1"/>
  <c r="E13" i="1"/>
  <c r="E14" i="1"/>
  <c r="R14" i="1"/>
  <c r="E15" i="1"/>
  <c r="R15" i="1"/>
  <c r="E5" i="1"/>
  <c r="R5" i="1"/>
  <c r="Z40" i="1"/>
  <c r="Z14" i="1"/>
  <c r="W65" i="1"/>
  <c r="AB11" i="1"/>
  <c r="X15" i="1"/>
  <c r="AB25" i="1"/>
  <c r="Y25" i="1"/>
  <c r="U25" i="1"/>
  <c r="Z25" i="1"/>
  <c r="V25" i="1"/>
  <c r="AA25" i="1"/>
  <c r="W25" i="1"/>
  <c r="T45" i="1"/>
  <c r="W45" i="1"/>
  <c r="Y45" i="1"/>
  <c r="Z45" i="1"/>
  <c r="AA45" i="1"/>
  <c r="X39" i="1"/>
  <c r="X14" i="1"/>
  <c r="W14" i="1"/>
  <c r="Y14" i="1"/>
  <c r="AA14" i="1"/>
  <c r="AB14" i="1"/>
  <c r="T14" i="1"/>
  <c r="U14" i="1"/>
  <c r="V14" i="1"/>
  <c r="X6" i="1"/>
  <c r="W6" i="1"/>
  <c r="Y6" i="1"/>
  <c r="AA6" i="1"/>
  <c r="AB6" i="1"/>
  <c r="T6" i="1"/>
  <c r="U6" i="1"/>
  <c r="V6" i="1"/>
  <c r="X24" i="1"/>
  <c r="U24" i="1"/>
  <c r="Y24" i="1"/>
  <c r="AA24" i="1"/>
  <c r="AB24" i="1"/>
  <c r="T24" i="1"/>
  <c r="T29" i="1"/>
  <c r="W29" i="1"/>
  <c r="Y29" i="1"/>
  <c r="Z29" i="1"/>
  <c r="AA29" i="1"/>
  <c r="X34" i="1"/>
  <c r="AB34" i="1"/>
  <c r="Y34" i="1"/>
  <c r="AA34" i="1"/>
  <c r="V34" i="1"/>
  <c r="X52" i="1"/>
  <c r="AB52" i="1"/>
  <c r="AA52" i="1"/>
  <c r="T52" i="1"/>
  <c r="V52" i="1"/>
  <c r="X44" i="1"/>
  <c r="AB44" i="1"/>
  <c r="AA44" i="1"/>
  <c r="T44" i="1"/>
  <c r="V44" i="1"/>
  <c r="W44" i="1"/>
  <c r="AA62" i="1"/>
  <c r="V62" i="1"/>
  <c r="Y62" i="1"/>
  <c r="Z62" i="1"/>
  <c r="X80" i="1"/>
  <c r="X72" i="1"/>
  <c r="U72" i="1"/>
  <c r="T62" i="1"/>
  <c r="W48" i="1"/>
  <c r="U44" i="1"/>
  <c r="V40" i="1"/>
  <c r="V31" i="1"/>
  <c r="W27" i="1"/>
  <c r="W18" i="1"/>
  <c r="U10" i="1"/>
  <c r="S6" i="1"/>
  <c r="AA75" i="1"/>
  <c r="Z54" i="1"/>
  <c r="Y44" i="1"/>
  <c r="Z38" i="1"/>
  <c r="Z24" i="1"/>
  <c r="Z8" i="1"/>
  <c r="V35" i="1"/>
  <c r="Y35" i="1"/>
  <c r="Z35" i="1"/>
  <c r="T35" i="1"/>
  <c r="AA35" i="1"/>
  <c r="U35" i="1"/>
  <c r="W10" i="1"/>
  <c r="X25" i="1"/>
  <c r="X17" i="1"/>
  <c r="AB45" i="1"/>
  <c r="T13" i="1"/>
  <c r="W13" i="1"/>
  <c r="Y13" i="1"/>
  <c r="Z13" i="1"/>
  <c r="AA13" i="1"/>
  <c r="T5" i="1"/>
  <c r="W5" i="1"/>
  <c r="Y5" i="1"/>
  <c r="Z5" i="1"/>
  <c r="AA5" i="1"/>
  <c r="U23" i="1"/>
  <c r="Y23" i="1"/>
  <c r="W23" i="1"/>
  <c r="AB23" i="1"/>
  <c r="Z23" i="1"/>
  <c r="AA23" i="1"/>
  <c r="AB41" i="1"/>
  <c r="Y41" i="1"/>
  <c r="U41" i="1"/>
  <c r="Z41" i="1"/>
  <c r="V41" i="1"/>
  <c r="AA41" i="1"/>
  <c r="W41" i="1"/>
  <c r="AB33" i="1"/>
  <c r="Y33" i="1"/>
  <c r="U33" i="1"/>
  <c r="Z33" i="1"/>
  <c r="V33" i="1"/>
  <c r="AA33" i="1"/>
  <c r="W33" i="1"/>
  <c r="V51" i="1"/>
  <c r="Y51" i="1"/>
  <c r="Z51" i="1"/>
  <c r="AA51" i="1"/>
  <c r="U51" i="1"/>
  <c r="V43" i="1"/>
  <c r="Y43" i="1"/>
  <c r="Z43" i="1"/>
  <c r="T43" i="1"/>
  <c r="AA43" i="1"/>
  <c r="U43" i="1"/>
  <c r="X61" i="1"/>
  <c r="U61" i="1"/>
  <c r="W61" i="1"/>
  <c r="T79" i="1"/>
  <c r="AB71" i="1"/>
  <c r="Y71" i="1"/>
  <c r="U71" i="1"/>
  <c r="X71" i="1"/>
  <c r="W71" i="1"/>
  <c r="T72" i="1"/>
  <c r="W51" i="1"/>
  <c r="V48" i="1"/>
  <c r="W35" i="1"/>
  <c r="T31" i="1"/>
  <c r="W26" i="1"/>
  <c r="S14" i="1"/>
  <c r="V5" i="1"/>
  <c r="Y74" i="1"/>
  <c r="X43" i="1"/>
  <c r="X23" i="1"/>
  <c r="AB5" i="1"/>
  <c r="N7" i="4"/>
  <c r="U15" i="1"/>
  <c r="Y15" i="1"/>
  <c r="W15" i="1"/>
  <c r="AB15" i="1"/>
  <c r="Z15" i="1"/>
  <c r="AA15" i="1"/>
  <c r="T15" i="1"/>
  <c r="X22" i="1"/>
  <c r="W22" i="1"/>
  <c r="Y22" i="1"/>
  <c r="AA22" i="1"/>
  <c r="AB22" i="1"/>
  <c r="T22" i="1"/>
  <c r="U22" i="1"/>
  <c r="V22" i="1"/>
  <c r="X50" i="1"/>
  <c r="AB50" i="1"/>
  <c r="AA50" i="1"/>
  <c r="V50" i="1"/>
  <c r="AA78" i="1"/>
  <c r="Y78" i="1"/>
  <c r="W78" i="1"/>
  <c r="V61" i="1"/>
  <c r="W43" i="1"/>
  <c r="U26" i="1"/>
  <c r="U5" i="1"/>
  <c r="Z22" i="1"/>
  <c r="V11" i="1"/>
  <c r="Y11" i="1"/>
  <c r="Z11" i="1"/>
  <c r="T11" i="1"/>
  <c r="AA11" i="1"/>
  <c r="U11" i="1"/>
  <c r="X16" i="1"/>
  <c r="U16" i="1"/>
  <c r="Y16" i="1"/>
  <c r="AA16" i="1"/>
  <c r="AB16" i="1"/>
  <c r="T16" i="1"/>
  <c r="T21" i="1"/>
  <c r="W21" i="1"/>
  <c r="Y21" i="1"/>
  <c r="Z21" i="1"/>
  <c r="AA21" i="1"/>
  <c r="U39" i="1"/>
  <c r="Y39" i="1"/>
  <c r="W39" i="1"/>
  <c r="AB39" i="1"/>
  <c r="Z39" i="1"/>
  <c r="AA39" i="1"/>
  <c r="U31" i="1"/>
  <c r="Y31" i="1"/>
  <c r="W31" i="1"/>
  <c r="AB31" i="1"/>
  <c r="Z31" i="1"/>
  <c r="AA31" i="1"/>
  <c r="AB49" i="1"/>
  <c r="Y49" i="1"/>
  <c r="U49" i="1"/>
  <c r="Z49" i="1"/>
  <c r="AA49" i="1"/>
  <c r="W49" i="1"/>
  <c r="AB67" i="1"/>
  <c r="Z67" i="1"/>
  <c r="AA67" i="1"/>
  <c r="W67" i="1"/>
  <c r="W59" i="1"/>
  <c r="X77" i="1"/>
  <c r="U77" i="1"/>
  <c r="U69" i="1"/>
  <c r="V78" i="1"/>
  <c r="V71" i="1"/>
  <c r="S65" i="1"/>
  <c r="W50" i="1"/>
  <c r="T47" i="1"/>
  <c r="W42" i="1"/>
  <c r="U34" i="1"/>
  <c r="S30" i="1"/>
  <c r="V21" i="1"/>
  <c r="U13" i="1"/>
  <c r="W8" i="1"/>
  <c r="U4" i="1"/>
  <c r="Z71" i="1"/>
  <c r="Z52" i="1"/>
  <c r="Y42" i="1"/>
  <c r="Z36" i="1"/>
  <c r="X29" i="1"/>
  <c r="X21" i="1"/>
  <c r="X13" i="1"/>
  <c r="X5" i="1"/>
  <c r="AB29" i="1"/>
  <c r="T53" i="1"/>
  <c r="W53" i="1"/>
  <c r="Y53" i="1"/>
  <c r="Z53" i="1"/>
  <c r="AA53" i="1"/>
  <c r="U45" i="1"/>
  <c r="X12" i="1"/>
  <c r="Y12" i="1"/>
  <c r="AB12" i="1"/>
  <c r="AA12" i="1"/>
  <c r="T12" i="1"/>
  <c r="V12" i="1"/>
  <c r="W12" i="1"/>
  <c r="T51" i="1"/>
  <c r="W34" i="1"/>
  <c r="V13" i="1"/>
  <c r="Y48" i="1"/>
  <c r="X10" i="1"/>
  <c r="AB10" i="1"/>
  <c r="Y10" i="1"/>
  <c r="AA10" i="1"/>
  <c r="V10" i="1"/>
  <c r="X28" i="1"/>
  <c r="Y28" i="1"/>
  <c r="AB28" i="1"/>
  <c r="AA28" i="1"/>
  <c r="T28" i="1"/>
  <c r="V28" i="1"/>
  <c r="W28" i="1"/>
  <c r="X20" i="1"/>
  <c r="Y20" i="1"/>
  <c r="AB20" i="1"/>
  <c r="AA20" i="1"/>
  <c r="T20" i="1"/>
  <c r="V20" i="1"/>
  <c r="W20" i="1"/>
  <c r="X38" i="1"/>
  <c r="W38" i="1"/>
  <c r="AA38" i="1"/>
  <c r="AB38" i="1"/>
  <c r="T38" i="1"/>
  <c r="U38" i="1"/>
  <c r="V38" i="1"/>
  <c r="X30" i="1"/>
  <c r="W30" i="1"/>
  <c r="Y30" i="1"/>
  <c r="AA30" i="1"/>
  <c r="AB30" i="1"/>
  <c r="T30" i="1"/>
  <c r="U30" i="1"/>
  <c r="V30" i="1"/>
  <c r="X48" i="1"/>
  <c r="U48" i="1"/>
  <c r="AA48" i="1"/>
  <c r="AB48" i="1"/>
  <c r="T48" i="1"/>
  <c r="AB66" i="1"/>
  <c r="Y66" i="1"/>
  <c r="T58" i="1"/>
  <c r="X76" i="1"/>
  <c r="AB76" i="1"/>
  <c r="T3" i="1"/>
  <c r="U78" i="1"/>
  <c r="S75" i="1"/>
  <c r="T71" i="1"/>
  <c r="V53" i="1"/>
  <c r="U50" i="1"/>
  <c r="T34" i="1"/>
  <c r="V29" i="1"/>
  <c r="T25" i="1"/>
  <c r="U21" i="1"/>
  <c r="W16" i="1"/>
  <c r="U12" i="1"/>
  <c r="Z66" i="1"/>
  <c r="Y52" i="1"/>
  <c r="Z46" i="1"/>
  <c r="X41" i="1"/>
  <c r="Z28" i="1"/>
  <c r="Z20" i="1"/>
  <c r="Z12" i="1"/>
  <c r="U7" i="1"/>
  <c r="Y7" i="1"/>
  <c r="W7" i="1"/>
  <c r="AB7" i="1"/>
  <c r="Z7" i="1"/>
  <c r="AA7" i="1"/>
  <c r="X4" i="1"/>
  <c r="Y4" i="1"/>
  <c r="AB4" i="1"/>
  <c r="AA4" i="1"/>
  <c r="T4" i="1"/>
  <c r="V4" i="1"/>
  <c r="W4" i="1"/>
  <c r="X32" i="1"/>
  <c r="U32" i="1"/>
  <c r="Y32" i="1"/>
  <c r="AA32" i="1"/>
  <c r="AB32" i="1"/>
  <c r="T32" i="1"/>
  <c r="AB55" i="1"/>
  <c r="U55" i="1"/>
  <c r="T18" i="1"/>
  <c r="AB35" i="1"/>
  <c r="V27" i="1"/>
  <c r="Y27" i="1"/>
  <c r="Z27" i="1"/>
  <c r="T27" i="1"/>
  <c r="AA27" i="1"/>
  <c r="U27" i="1"/>
  <c r="V19" i="1"/>
  <c r="Y19" i="1"/>
  <c r="Z19" i="1"/>
  <c r="T19" i="1"/>
  <c r="AA19" i="1"/>
  <c r="U19" i="1"/>
  <c r="T37" i="1"/>
  <c r="W37" i="1"/>
  <c r="Y37" i="1"/>
  <c r="Z37" i="1"/>
  <c r="AA37" i="1"/>
  <c r="X42" i="1"/>
  <c r="AB42" i="1"/>
  <c r="AA42" i="1"/>
  <c r="V42" i="1"/>
  <c r="U47" i="1"/>
  <c r="Y47" i="1"/>
  <c r="W47" i="1"/>
  <c r="AB47" i="1"/>
  <c r="Z47" i="1"/>
  <c r="AA47" i="1"/>
  <c r="X65" i="1"/>
  <c r="V65" i="1"/>
  <c r="T57" i="1"/>
  <c r="W75" i="1"/>
  <c r="Z75" i="1"/>
  <c r="U75" i="1"/>
  <c r="X75" i="1"/>
  <c r="Y75" i="1"/>
  <c r="T78" i="1"/>
  <c r="U53" i="1"/>
  <c r="T50" i="1"/>
  <c r="T42" i="1"/>
  <c r="V37" i="1"/>
  <c r="T33" i="1"/>
  <c r="U29" i="1"/>
  <c r="W24" i="1"/>
  <c r="U20" i="1"/>
  <c r="V16" i="1"/>
  <c r="V7" i="1"/>
  <c r="X66" i="1"/>
  <c r="X51" i="1"/>
  <c r="X35" i="1"/>
  <c r="X27" i="1"/>
  <c r="X19" i="1"/>
  <c r="X11" i="1"/>
  <c r="AB53" i="1"/>
  <c r="AB21" i="1"/>
  <c r="AB17" i="1"/>
  <c r="Y17" i="1"/>
  <c r="U17" i="1"/>
  <c r="Z17" i="1"/>
  <c r="V17" i="1"/>
  <c r="AA17" i="1"/>
  <c r="W17" i="1"/>
  <c r="T63" i="1"/>
  <c r="Z63" i="1"/>
  <c r="Y63" i="1"/>
  <c r="X40" i="1"/>
  <c r="U40" i="1"/>
  <c r="AA40" i="1"/>
  <c r="AB40" i="1"/>
  <c r="T40" i="1"/>
  <c r="AB9" i="1"/>
  <c r="Y9" i="1"/>
  <c r="U9" i="1"/>
  <c r="Z9" i="1"/>
  <c r="V9" i="1"/>
  <c r="AA9" i="1"/>
  <c r="W9" i="1"/>
  <c r="X3" i="1"/>
  <c r="AA3" i="1"/>
  <c r="Z3" i="1"/>
  <c r="AB3" i="1"/>
  <c r="Y3" i="1"/>
  <c r="X8" i="1"/>
  <c r="U8" i="1"/>
  <c r="Y8" i="1"/>
  <c r="AA8" i="1"/>
  <c r="AB8" i="1"/>
  <c r="T8" i="1"/>
  <c r="X26" i="1"/>
  <c r="AB26" i="1"/>
  <c r="Y26" i="1"/>
  <c r="AA26" i="1"/>
  <c r="V26" i="1"/>
  <c r="X18" i="1"/>
  <c r="AB18" i="1"/>
  <c r="Y18" i="1"/>
  <c r="AA18" i="1"/>
  <c r="V18" i="1"/>
  <c r="X36" i="1"/>
  <c r="AB36" i="1"/>
  <c r="AA36" i="1"/>
  <c r="T36" i="1"/>
  <c r="V36" i="1"/>
  <c r="W36" i="1"/>
  <c r="X54" i="1"/>
  <c r="W54" i="1"/>
  <c r="AA54" i="1"/>
  <c r="AB54" i="1"/>
  <c r="T54" i="1"/>
  <c r="V54" i="1"/>
  <c r="X46" i="1"/>
  <c r="W46" i="1"/>
  <c r="AA46" i="1"/>
  <c r="AB46" i="1"/>
  <c r="T46" i="1"/>
  <c r="U46" i="1"/>
  <c r="V46" i="1"/>
  <c r="X64" i="1"/>
  <c r="V64" i="1"/>
  <c r="X56" i="1"/>
  <c r="U56" i="1"/>
  <c r="AB74" i="1"/>
  <c r="X74" i="1"/>
  <c r="Z74" i="1"/>
  <c r="T74" i="1"/>
  <c r="V74" i="1"/>
  <c r="V3" i="1"/>
  <c r="U74" i="1"/>
  <c r="W62" i="1"/>
  <c r="T56" i="1"/>
  <c r="W52" i="1"/>
  <c r="V49" i="1"/>
  <c r="V45" i="1"/>
  <c r="T41" i="1"/>
  <c r="U37" i="1"/>
  <c r="W32" i="1"/>
  <c r="U28" i="1"/>
  <c r="V24" i="1"/>
  <c r="V15" i="1"/>
  <c r="W11" i="1"/>
  <c r="T7" i="1"/>
  <c r="Z78" i="1"/>
  <c r="AA63" i="1"/>
  <c r="Z50" i="1"/>
  <c r="X45" i="1"/>
  <c r="Y40" i="1"/>
  <c r="Z34" i="1"/>
  <c r="Z26" i="1"/>
  <c r="Z18" i="1"/>
  <c r="Z10" i="1"/>
  <c r="AB51" i="1"/>
  <c r="AB19" i="1"/>
  <c r="S16" i="4"/>
  <c r="S15" i="4"/>
  <c r="S14" i="4"/>
  <c r="S13" i="4"/>
  <c r="S19" i="4"/>
  <c r="S18" i="4"/>
  <c r="S17" i="4"/>
  <c r="AB34" i="4"/>
  <c r="T69" i="1"/>
  <c r="V59" i="1"/>
  <c r="AA79" i="1"/>
  <c r="AA59" i="1"/>
  <c r="AA55" i="1"/>
  <c r="AB65" i="1"/>
  <c r="U59" i="1"/>
  <c r="Z79" i="1"/>
  <c r="Z59" i="1"/>
  <c r="Z55" i="1"/>
  <c r="AB80" i="1"/>
  <c r="AB64" i="1"/>
  <c r="W68" i="1"/>
  <c r="T59" i="1"/>
  <c r="Y79" i="1"/>
  <c r="Y67" i="1"/>
  <c r="Y59" i="1"/>
  <c r="Y55" i="1"/>
  <c r="AB79" i="1"/>
  <c r="AB63" i="1"/>
  <c r="V68" i="1"/>
  <c r="X79" i="1"/>
  <c r="X67" i="1"/>
  <c r="X63" i="1"/>
  <c r="X59" i="1"/>
  <c r="X55" i="1"/>
  <c r="AB78" i="1"/>
  <c r="AB62" i="1"/>
  <c r="U68" i="1"/>
  <c r="T65" i="1"/>
  <c r="W58" i="1"/>
  <c r="V55" i="1"/>
  <c r="AA74" i="1"/>
  <c r="AA70" i="1"/>
  <c r="AA66" i="1"/>
  <c r="AA58" i="1"/>
  <c r="AB77" i="1"/>
  <c r="AB61" i="1"/>
  <c r="V58" i="1"/>
  <c r="Z70" i="1"/>
  <c r="Z58" i="1"/>
  <c r="AB60" i="1"/>
  <c r="N8" i="4"/>
  <c r="N9" i="4"/>
  <c r="W80" i="1"/>
  <c r="U58" i="1"/>
  <c r="Y70" i="1"/>
  <c r="Y58" i="1"/>
  <c r="AB75" i="1"/>
  <c r="AB59" i="1"/>
  <c r="O7" i="4"/>
  <c r="O8" i="4"/>
  <c r="O9" i="4"/>
  <c r="X58" i="1"/>
  <c r="AB58" i="1"/>
  <c r="V80" i="1"/>
  <c r="U80" i="1"/>
  <c r="T77" i="1"/>
  <c r="W70" i="1"/>
  <c r="V67" i="1"/>
  <c r="U64" i="1"/>
  <c r="T61" i="1"/>
  <c r="AA77" i="1"/>
  <c r="AA73" i="1"/>
  <c r="AA69" i="1"/>
  <c r="AA65" i="1"/>
  <c r="AA61" i="1"/>
  <c r="AA57" i="1"/>
  <c r="AB73" i="1"/>
  <c r="AB57" i="1"/>
  <c r="P7" i="4"/>
  <c r="P8" i="4"/>
  <c r="P9" i="4"/>
  <c r="T80" i="1"/>
  <c r="W73" i="1"/>
  <c r="V70" i="1"/>
  <c r="U67" i="1"/>
  <c r="T64" i="1"/>
  <c r="W57" i="1"/>
  <c r="Z77" i="1"/>
  <c r="Z73" i="1"/>
  <c r="Z69" i="1"/>
  <c r="Z65" i="1"/>
  <c r="Z61" i="1"/>
  <c r="Z57" i="1"/>
  <c r="AB72" i="1"/>
  <c r="AB56" i="1"/>
  <c r="W76" i="1"/>
  <c r="V73" i="1"/>
  <c r="U70" i="1"/>
  <c r="T67" i="1"/>
  <c r="W60" i="1"/>
  <c r="V57" i="1"/>
  <c r="Y77" i="1"/>
  <c r="Y73" i="1"/>
  <c r="Y69" i="1"/>
  <c r="Y65" i="1"/>
  <c r="Y61" i="1"/>
  <c r="Y57" i="1"/>
  <c r="W79" i="1"/>
  <c r="V76" i="1"/>
  <c r="U73" i="1"/>
  <c r="T70" i="1"/>
  <c r="W63" i="1"/>
  <c r="V60" i="1"/>
  <c r="U57" i="1"/>
  <c r="X73" i="1"/>
  <c r="X69" i="1"/>
  <c r="X57" i="1"/>
  <c r="AB70" i="1"/>
  <c r="V79" i="1"/>
  <c r="U76" i="1"/>
  <c r="W66" i="1"/>
  <c r="V63" i="1"/>
  <c r="U60" i="1"/>
  <c r="AA80" i="1"/>
  <c r="AA76" i="1"/>
  <c r="AA72" i="1"/>
  <c r="AA68" i="1"/>
  <c r="AA64" i="1"/>
  <c r="AA60" i="1"/>
  <c r="AA56" i="1"/>
  <c r="AB69" i="1"/>
  <c r="T68" i="1"/>
  <c r="U79" i="1"/>
  <c r="T76" i="1"/>
  <c r="W69" i="1"/>
  <c r="V66" i="1"/>
  <c r="U63" i="1"/>
  <c r="T60" i="1"/>
  <c r="Z80" i="1"/>
  <c r="Z76" i="1"/>
  <c r="Z72" i="1"/>
  <c r="Z68" i="1"/>
  <c r="Z64" i="1"/>
  <c r="Z60" i="1"/>
  <c r="Z56" i="1"/>
  <c r="AB68" i="1"/>
  <c r="W72" i="1"/>
  <c r="V69" i="1"/>
  <c r="U66" i="1"/>
  <c r="W56" i="1"/>
  <c r="Y80" i="1"/>
  <c r="Y76" i="1"/>
  <c r="Y72" i="1"/>
  <c r="Y68" i="1"/>
  <c r="Y64" i="1"/>
  <c r="Y60" i="1"/>
  <c r="Y56" i="1"/>
  <c r="V72" i="1"/>
  <c r="T66" i="1"/>
  <c r="V56" i="1"/>
  <c r="H31" i="8"/>
  <c r="J31" i="8"/>
  <c r="K31" i="8"/>
  <c r="H12" i="8"/>
  <c r="H14" i="8"/>
  <c r="H13" i="8"/>
  <c r="S41" i="4"/>
  <c r="E32" i="10"/>
  <c r="S40" i="4"/>
  <c r="E31" i="10"/>
  <c r="D6" i="8"/>
  <c r="H32" i="8"/>
  <c r="I32" i="8"/>
  <c r="D11" i="8"/>
  <c r="K24" i="4"/>
  <c r="M24" i="4"/>
  <c r="W24" i="4"/>
  <c r="Y24" i="4"/>
  <c r="H20" i="8"/>
  <c r="J20" i="8"/>
  <c r="K20" i="8"/>
  <c r="H21" i="8"/>
  <c r="I21" i="8"/>
  <c r="H34" i="8"/>
  <c r="H30" i="8"/>
  <c r="H33" i="8"/>
  <c r="H17" i="8"/>
  <c r="J17" i="8"/>
  <c r="K17" i="8"/>
  <c r="H18" i="8"/>
  <c r="J18" i="8"/>
  <c r="K18" i="8"/>
  <c r="H19" i="8"/>
  <c r="J19" i="8"/>
  <c r="K19" i="8"/>
  <c r="H15" i="8"/>
  <c r="J15" i="8"/>
  <c r="K15" i="8"/>
  <c r="H16" i="8"/>
  <c r="J16" i="8"/>
  <c r="K16" i="8"/>
  <c r="Z27" i="4"/>
  <c r="AA27" i="4"/>
  <c r="Z25" i="4"/>
  <c r="AA25" i="4"/>
  <c r="AC33" i="4"/>
  <c r="AB33" i="4"/>
  <c r="Z31" i="4"/>
  <c r="AA31" i="4"/>
  <c r="M30" i="4"/>
  <c r="T30" i="4"/>
  <c r="Z30" i="4"/>
  <c r="AA30" i="4"/>
  <c r="M29" i="4"/>
  <c r="Z29" i="4"/>
  <c r="AA29" i="4"/>
  <c r="M32" i="4"/>
  <c r="N32" i="4"/>
  <c r="U32" i="4"/>
  <c r="Z32" i="4"/>
  <c r="AA32" i="4"/>
  <c r="S38" i="4"/>
  <c r="E29" i="10"/>
  <c r="S37" i="4"/>
  <c r="E28" i="10"/>
  <c r="S36" i="4"/>
  <c r="E27" i="10"/>
  <c r="S39" i="4"/>
  <c r="E22" i="10"/>
  <c r="Z26" i="4"/>
  <c r="AA26" i="4"/>
  <c r="X26" i="4"/>
  <c r="W31" i="4"/>
  <c r="E23" i="10"/>
  <c r="X32" i="4"/>
  <c r="M25" i="4"/>
  <c r="T25" i="4"/>
  <c r="E21" i="10"/>
  <c r="K33" i="4"/>
  <c r="W30" i="4"/>
  <c r="X30" i="4"/>
  <c r="Y33" i="4"/>
  <c r="R33" i="4"/>
  <c r="S33" i="4"/>
  <c r="M21" i="4"/>
  <c r="T21" i="4"/>
  <c r="Z18" i="4"/>
  <c r="AA18" i="4"/>
  <c r="Z17" i="4"/>
  <c r="AA17" i="4"/>
  <c r="M12" i="4"/>
  <c r="W12" i="4"/>
  <c r="E10" i="10"/>
  <c r="M16" i="4"/>
  <c r="T16" i="4"/>
  <c r="E14" i="10"/>
  <c r="Z20" i="4"/>
  <c r="AA20" i="4"/>
  <c r="Z15" i="4"/>
  <c r="AA15" i="4"/>
  <c r="E13" i="10"/>
  <c r="M19" i="4"/>
  <c r="X19" i="4"/>
  <c r="Z14" i="4"/>
  <c r="AA14" i="4"/>
  <c r="E12" i="10"/>
  <c r="Z13" i="4"/>
  <c r="AA13" i="4"/>
  <c r="E11" i="10"/>
  <c r="X33" i="4"/>
  <c r="W32" i="4"/>
  <c r="X29" i="4"/>
  <c r="X20" i="4"/>
  <c r="W29" i="4"/>
  <c r="F20" i="4"/>
  <c r="E20" i="4"/>
  <c r="M17" i="4"/>
  <c r="X17" i="4"/>
  <c r="J29" i="8"/>
  <c r="K29" i="8"/>
  <c r="J32" i="8"/>
  <c r="K32" i="8"/>
  <c r="M31" i="4"/>
  <c r="M27" i="4"/>
  <c r="W27" i="4"/>
  <c r="J21" i="8"/>
  <c r="K21" i="8"/>
  <c r="I31" i="8"/>
  <c r="M26" i="4"/>
  <c r="W26" i="4"/>
  <c r="M15" i="4"/>
  <c r="W15" i="4"/>
  <c r="J3" i="7"/>
  <c r="L3" i="7"/>
  <c r="M14" i="4"/>
  <c r="W14" i="4"/>
  <c r="H3" i="7"/>
  <c r="M18" i="4"/>
  <c r="M13" i="4"/>
  <c r="W13" i="4"/>
  <c r="Y10" i="4"/>
  <c r="Z21" i="4"/>
  <c r="AA21" i="4"/>
  <c r="Z16" i="4"/>
  <c r="AA16" i="4"/>
  <c r="Z12" i="4"/>
  <c r="M20" i="4"/>
  <c r="W20" i="4"/>
  <c r="Z19" i="4"/>
  <c r="AA19" i="4"/>
  <c r="S12" i="4"/>
  <c r="R10" i="4"/>
  <c r="J51" i="4"/>
  <c r="J62" i="4"/>
  <c r="J13" i="8"/>
  <c r="K13" i="8"/>
  <c r="I13" i="8"/>
  <c r="J14" i="8"/>
  <c r="K14" i="8"/>
  <c r="I14" i="8"/>
  <c r="J12" i="8"/>
  <c r="K12" i="8"/>
  <c r="I12" i="8"/>
  <c r="I15" i="8"/>
  <c r="I19" i="8"/>
  <c r="I17" i="8"/>
  <c r="I18" i="8"/>
  <c r="E20" i="10"/>
  <c r="N29" i="4"/>
  <c r="U29" i="4"/>
  <c r="Z24" i="4"/>
  <c r="AA24" i="4"/>
  <c r="I16" i="8"/>
  <c r="I20" i="8"/>
  <c r="I30" i="8"/>
  <c r="J30" i="8"/>
  <c r="K30" i="8"/>
  <c r="I34" i="8"/>
  <c r="J34" i="8"/>
  <c r="K34" i="8"/>
  <c r="H11" i="8"/>
  <c r="I11" i="8"/>
  <c r="G11" i="8"/>
  <c r="I33" i="8"/>
  <c r="J33" i="8"/>
  <c r="K33" i="8"/>
  <c r="N30" i="4"/>
  <c r="U30" i="4"/>
  <c r="W17" i="4"/>
  <c r="W19" i="4"/>
  <c r="X18" i="4"/>
  <c r="W18" i="4"/>
  <c r="W21" i="4"/>
  <c r="X14" i="4"/>
  <c r="X15" i="4"/>
  <c r="X16" i="4"/>
  <c r="X21" i="4"/>
  <c r="V32" i="4"/>
  <c r="X25" i="4"/>
  <c r="X22" i="4"/>
  <c r="X13" i="4"/>
  <c r="X12" i="4"/>
  <c r="W16" i="4"/>
  <c r="AB28" i="4"/>
  <c r="AB10" i="4"/>
  <c r="I28" i="10"/>
  <c r="H19" i="10"/>
  <c r="R34" i="4"/>
  <c r="J53" i="4"/>
  <c r="J64" i="4"/>
  <c r="T32" i="4"/>
  <c r="T29" i="4"/>
  <c r="V30" i="4"/>
  <c r="M33" i="4"/>
  <c r="T33" i="4"/>
  <c r="Z33" i="4"/>
  <c r="AA33" i="4"/>
  <c r="W25" i="4"/>
  <c r="N25" i="4"/>
  <c r="U25" i="4"/>
  <c r="K28" i="4"/>
  <c r="Y28" i="4"/>
  <c r="Y22" i="4"/>
  <c r="T12" i="4"/>
  <c r="N12" i="4"/>
  <c r="D20" i="4"/>
  <c r="I2" i="4"/>
  <c r="C5" i="10"/>
  <c r="N19" i="4"/>
  <c r="V19" i="4"/>
  <c r="N20" i="4"/>
  <c r="N17" i="4"/>
  <c r="V17" i="4"/>
  <c r="N18" i="4"/>
  <c r="U18" i="4"/>
  <c r="N14" i="4"/>
  <c r="V14" i="4"/>
  <c r="N13" i="4"/>
  <c r="T19" i="4"/>
  <c r="N16" i="4"/>
  <c r="N21" i="4"/>
  <c r="U21" i="4"/>
  <c r="N24" i="4"/>
  <c r="V24" i="4"/>
  <c r="T15" i="4"/>
  <c r="N15" i="4"/>
  <c r="T17" i="4"/>
  <c r="T24" i="4"/>
  <c r="N27" i="4"/>
  <c r="T27" i="4"/>
  <c r="T31" i="4"/>
  <c r="N31" i="4"/>
  <c r="T26" i="4"/>
  <c r="N26" i="4"/>
  <c r="T14" i="4"/>
  <c r="K3" i="7"/>
  <c r="M3" i="7"/>
  <c r="T18" i="4"/>
  <c r="T13" i="4"/>
  <c r="T20" i="4"/>
  <c r="Z10" i="4"/>
  <c r="AA12" i="4"/>
  <c r="AA10" i="4"/>
  <c r="I62" i="4"/>
  <c r="V29" i="4"/>
  <c r="J11" i="8"/>
  <c r="K11" i="8"/>
  <c r="M49" i="4"/>
  <c r="E36" i="10"/>
  <c r="Z28" i="4"/>
  <c r="E24" i="10"/>
  <c r="W10" i="4"/>
  <c r="X10" i="4"/>
  <c r="V21" i="4"/>
  <c r="V18" i="4"/>
  <c r="J49" i="4"/>
  <c r="U19" i="4"/>
  <c r="U14" i="4"/>
  <c r="N33" i="4"/>
  <c r="W33" i="4"/>
  <c r="U17" i="4"/>
  <c r="U24" i="4"/>
  <c r="V25" i="4"/>
  <c r="V16" i="4"/>
  <c r="U16" i="4"/>
  <c r="U12" i="4"/>
  <c r="V12" i="4"/>
  <c r="M28" i="4"/>
  <c r="O27" i="4"/>
  <c r="P27" i="4"/>
  <c r="O33" i="4"/>
  <c r="Q33" i="4"/>
  <c r="O26" i="4"/>
  <c r="P26" i="4"/>
  <c r="O43" i="4"/>
  <c r="P43" i="4"/>
  <c r="O44" i="4"/>
  <c r="Q44" i="4"/>
  <c r="O32" i="4"/>
  <c r="P32" i="4"/>
  <c r="O28" i="4"/>
  <c r="Q28" i="4"/>
  <c r="O45" i="4"/>
  <c r="Q45" i="4"/>
  <c r="O25" i="4"/>
  <c r="Q25" i="4"/>
  <c r="O24" i="4"/>
  <c r="Q24" i="4"/>
  <c r="O42" i="4"/>
  <c r="P42" i="4"/>
  <c r="O31" i="4"/>
  <c r="Q31" i="4"/>
  <c r="B25" i="5"/>
  <c r="I7" i="4"/>
  <c r="K50" i="4"/>
  <c r="O29" i="4"/>
  <c r="P29" i="4"/>
  <c r="O30" i="4"/>
  <c r="P30" i="4"/>
  <c r="U27" i="4"/>
  <c r="V27" i="4"/>
  <c r="U26" i="4"/>
  <c r="V26" i="4"/>
  <c r="U20" i="4"/>
  <c r="V20" i="4"/>
  <c r="U15" i="4"/>
  <c r="V15" i="4"/>
  <c r="U31" i="4"/>
  <c r="V31" i="4"/>
  <c r="U13" i="4"/>
  <c r="V13" i="4"/>
  <c r="T10" i="4"/>
  <c r="I51" i="4"/>
  <c r="J63" i="4"/>
  <c r="H24" i="10"/>
  <c r="O20" i="4"/>
  <c r="Q20" i="4"/>
  <c r="O21" i="4"/>
  <c r="Q21" i="4"/>
  <c r="Q36" i="4"/>
  <c r="Q38" i="4"/>
  <c r="Q37" i="4"/>
  <c r="P40" i="4"/>
  <c r="P41" i="4"/>
  <c r="W28" i="4"/>
  <c r="W22" i="4"/>
  <c r="N28" i="4"/>
  <c r="L50" i="4"/>
  <c r="P33" i="4"/>
  <c r="P36" i="4"/>
  <c r="U33" i="4"/>
  <c r="V33" i="4"/>
  <c r="Q32" i="4"/>
  <c r="Q27" i="4"/>
  <c r="J60" i="4"/>
  <c r="H22" i="10"/>
  <c r="E35" i="10"/>
  <c r="P38" i="4"/>
  <c r="P44" i="4"/>
  <c r="Q26" i="4"/>
  <c r="Q40" i="4"/>
  <c r="AA28" i="4"/>
  <c r="AA22" i="4"/>
  <c r="I63" i="4"/>
  <c r="Z22" i="4"/>
  <c r="T28" i="4"/>
  <c r="T22" i="4"/>
  <c r="I52" i="4"/>
  <c r="Q43" i="4"/>
  <c r="P28" i="4"/>
  <c r="Q30" i="4"/>
  <c r="Q41" i="4"/>
  <c r="P45" i="4"/>
  <c r="P24" i="4"/>
  <c r="P31" i="4"/>
  <c r="P25" i="4"/>
  <c r="I8" i="4"/>
  <c r="K2" i="4"/>
  <c r="C2" i="9"/>
  <c r="C5" i="9"/>
  <c r="D6" i="9"/>
  <c r="Q29" i="4"/>
  <c r="P37" i="4"/>
  <c r="I50" i="4"/>
  <c r="Q42" i="4"/>
  <c r="P39" i="4"/>
  <c r="Q39" i="4"/>
  <c r="V10" i="4"/>
  <c r="U10" i="4"/>
  <c r="P16" i="4"/>
  <c r="Q15" i="4"/>
  <c r="P14" i="4"/>
  <c r="P12" i="4"/>
  <c r="P19" i="4"/>
  <c r="Q17" i="4"/>
  <c r="Q13" i="4"/>
  <c r="P18" i="4"/>
  <c r="P13" i="4"/>
  <c r="P17" i="4"/>
  <c r="Q18" i="4"/>
  <c r="Q12" i="4"/>
  <c r="P20" i="4"/>
  <c r="Q19" i="4"/>
  <c r="P21" i="4"/>
  <c r="P15" i="4"/>
  <c r="Q16" i="4"/>
  <c r="Q14" i="4"/>
  <c r="I61" i="4"/>
  <c r="K61" i="4"/>
  <c r="J2" i="4"/>
  <c r="I56" i="4"/>
  <c r="B34" i="10"/>
  <c r="V28" i="4"/>
  <c r="V22" i="4"/>
  <c r="I55" i="4"/>
  <c r="U28" i="4"/>
  <c r="U22" i="4"/>
  <c r="O22" i="4"/>
  <c r="K52" i="4"/>
  <c r="O34" i="4"/>
  <c r="K53" i="4"/>
  <c r="I49" i="4"/>
  <c r="K63" i="4"/>
  <c r="L63" i="4"/>
  <c r="O52" i="4"/>
  <c r="O10" i="4"/>
  <c r="K51" i="4"/>
  <c r="L51" i="4"/>
  <c r="I60" i="4"/>
  <c r="L61" i="4"/>
  <c r="I54" i="4"/>
  <c r="I57" i="4"/>
  <c r="I58" i="4"/>
  <c r="L52" i="4"/>
  <c r="H49" i="4"/>
  <c r="E34" i="10"/>
  <c r="E37" i="10"/>
  <c r="L53" i="4"/>
  <c r="K64" i="4"/>
  <c r="L64" i="4"/>
  <c r="H60" i="4"/>
  <c r="H21" i="10"/>
  <c r="K62" i="4"/>
  <c r="L62" i="4"/>
  <c r="K49" i="4"/>
  <c r="G12" i="9"/>
  <c r="B35" i="10"/>
  <c r="E38" i="10"/>
  <c r="L49" i="4"/>
  <c r="K60" i="4"/>
  <c r="L60" i="4"/>
  <c r="H23" i="10"/>
  <c r="G11" i="9"/>
  <c r="G6" i="9"/>
  <c r="B6" i="9"/>
  <c r="C6" i="9"/>
  <c r="D7" i="9"/>
  <c r="G13" i="9"/>
  <c r="B7" i="9"/>
  <c r="G9" i="9"/>
  <c r="B17" i="9"/>
  <c r="L9" i="9"/>
  <c r="L10" i="9"/>
  <c r="L13" i="9"/>
  <c r="G15" i="9"/>
  <c r="L16" i="9"/>
  <c r="B12" i="9"/>
  <c r="B14" i="9"/>
  <c r="K55" i="4"/>
  <c r="M55" i="4"/>
  <c r="B37" i="10"/>
  <c r="G17" i="9"/>
  <c r="L8" i="9"/>
  <c r="B15" i="9"/>
  <c r="B13" i="9"/>
  <c r="G14" i="9"/>
  <c r="B8" i="9"/>
  <c r="B16" i="9"/>
  <c r="B11" i="9"/>
  <c r="L7" i="9"/>
  <c r="L12" i="9"/>
  <c r="L6" i="9"/>
  <c r="L15" i="9"/>
  <c r="L17" i="9"/>
  <c r="L14" i="9"/>
  <c r="G16" i="9"/>
  <c r="G7" i="9"/>
  <c r="G10" i="9"/>
  <c r="L11" i="9"/>
  <c r="K56" i="4"/>
  <c r="M56" i="4"/>
  <c r="E40" i="10"/>
  <c r="B10" i="9"/>
  <c r="K54" i="4"/>
  <c r="M54" i="4"/>
  <c r="B36" i="10"/>
  <c r="G8" i="9"/>
  <c r="B9" i="9"/>
  <c r="C7" i="9"/>
  <c r="D8" i="9"/>
  <c r="C8" i="9"/>
  <c r="D9" i="9"/>
  <c r="L55" i="4"/>
  <c r="L56" i="4"/>
  <c r="L54" i="4"/>
  <c r="C9" i="9"/>
  <c r="D10" i="9"/>
  <c r="C10" i="9"/>
  <c r="D11" i="9"/>
  <c r="C11" i="9"/>
  <c r="D12" i="9"/>
  <c r="C12" i="9"/>
  <c r="D13" i="9"/>
  <c r="C13" i="9"/>
  <c r="D14" i="9"/>
  <c r="C14" i="9"/>
  <c r="D15" i="9"/>
  <c r="C15" i="9"/>
  <c r="D16" i="9"/>
  <c r="C16" i="9"/>
  <c r="D17" i="9"/>
  <c r="C17" i="9"/>
  <c r="I6" i="9"/>
  <c r="H6" i="9"/>
  <c r="I7" i="9"/>
  <c r="H7" i="9"/>
  <c r="I8" i="9"/>
  <c r="H8" i="9"/>
  <c r="I9" i="9"/>
  <c r="H9" i="9"/>
  <c r="I10" i="9"/>
  <c r="H10" i="9"/>
  <c r="I11" i="9"/>
  <c r="H11" i="9"/>
  <c r="I12" i="9"/>
  <c r="H12" i="9"/>
  <c r="I13" i="9"/>
  <c r="H13" i="9"/>
  <c r="I14" i="9"/>
  <c r="H14" i="9"/>
  <c r="I15" i="9"/>
  <c r="H15" i="9"/>
  <c r="I16" i="9"/>
  <c r="H16" i="9"/>
  <c r="I17" i="9"/>
  <c r="H17" i="9"/>
  <c r="N6" i="9"/>
  <c r="M6" i="9"/>
  <c r="N7" i="9"/>
  <c r="M7" i="9"/>
  <c r="N8" i="9"/>
  <c r="M8" i="9"/>
  <c r="N9" i="9"/>
  <c r="M9" i="9"/>
  <c r="N10" i="9"/>
  <c r="M10" i="9"/>
  <c r="N11" i="9"/>
  <c r="M11" i="9"/>
  <c r="N12" i="9"/>
  <c r="M12" i="9"/>
  <c r="N13" i="9"/>
  <c r="M13" i="9"/>
  <c r="N14" i="9"/>
  <c r="M14" i="9"/>
  <c r="N15" i="9"/>
  <c r="M15" i="9"/>
  <c r="N16" i="9"/>
  <c r="M16" i="9"/>
  <c r="N17" i="9"/>
  <c r="M17" i="9"/>
</calcChain>
</file>

<file path=xl/sharedStrings.xml><?xml version="1.0" encoding="utf-8"?>
<sst xmlns="http://schemas.openxmlformats.org/spreadsheetml/2006/main" count="616" uniqueCount="310">
  <si>
    <t>Standard</t>
  </si>
  <si>
    <t>PRO</t>
  </si>
  <si>
    <t>Perpetual</t>
  </si>
  <si>
    <t>Maint.</t>
  </si>
  <si>
    <t>Annual</t>
  </si>
  <si>
    <t>Sim.Calls.</t>
  </si>
  <si>
    <t>+- Ext.</t>
  </si>
  <si>
    <t>Serveur failover (défaillance DC Luxembourg)</t>
  </si>
  <si>
    <t>E</t>
  </si>
  <si>
    <t xml:space="preserve">Possibilité de mettre logo sur téléphone </t>
  </si>
  <si>
    <t>P</t>
  </si>
  <si>
    <t>Nom de domaine personalisé</t>
  </si>
  <si>
    <t>Possibilité d'interconnexion applicatinon tièrce</t>
  </si>
  <si>
    <t xml:space="preserve">Accès WebMeeting via un appel téléphonique </t>
  </si>
  <si>
    <t>Possibilité d'interconnecter un autre 3cx</t>
  </si>
  <si>
    <t>oui</t>
  </si>
  <si>
    <t>non</t>
  </si>
  <si>
    <t>Interconnexion Office 365</t>
  </si>
  <si>
    <t>Pro</t>
  </si>
  <si>
    <t>Ent</t>
  </si>
  <si>
    <t>choix</t>
  </si>
  <si>
    <t>Version</t>
  </si>
  <si>
    <t>Type</t>
  </si>
  <si>
    <t>Canaux</t>
  </si>
  <si>
    <t>Arcticle</t>
  </si>
  <si>
    <t>Prix</t>
  </si>
  <si>
    <t>Maint</t>
  </si>
  <si>
    <t>Article</t>
  </si>
  <si>
    <t>Durée</t>
  </si>
  <si>
    <t>1y</t>
  </si>
  <si>
    <t>2y</t>
  </si>
  <si>
    <t>3y</t>
  </si>
  <si>
    <t>4y</t>
  </si>
  <si>
    <t>5y</t>
  </si>
  <si>
    <t>Licence</t>
  </si>
  <si>
    <t>Offre</t>
  </si>
  <si>
    <t>Comp1</t>
  </si>
  <si>
    <t>Comp2</t>
  </si>
  <si>
    <t>Comp3</t>
  </si>
  <si>
    <t>Snom</t>
  </si>
  <si>
    <t>Yealink</t>
  </si>
  <si>
    <t>Marque</t>
  </si>
  <si>
    <t>Modèle</t>
  </si>
  <si>
    <t>Achat</t>
  </si>
  <si>
    <t>Marques</t>
  </si>
  <si>
    <t>Fonctionalité</t>
  </si>
  <si>
    <t>Ver</t>
  </si>
  <si>
    <t>Financement</t>
  </si>
  <si>
    <t>Choix</t>
  </si>
  <si>
    <t>Finance1</t>
  </si>
  <si>
    <t>Finance2</t>
  </si>
  <si>
    <t>-</t>
  </si>
  <si>
    <t>Total</t>
  </si>
  <si>
    <t>Taux</t>
  </si>
  <si>
    <t>Assurance</t>
  </si>
  <si>
    <t>Mensualité</t>
  </si>
  <si>
    <t>Prix / an</t>
  </si>
  <si>
    <t>Prix / mois</t>
  </si>
  <si>
    <t>6y</t>
  </si>
  <si>
    <t>7y</t>
  </si>
  <si>
    <t>8y</t>
  </si>
  <si>
    <t>9y</t>
  </si>
  <si>
    <t>10y</t>
  </si>
  <si>
    <t>Index</t>
  </si>
  <si>
    <t>Finance3</t>
  </si>
  <si>
    <t>182-2096</t>
  </si>
  <si>
    <t>Raspberry Pi 4 Model B 4G SBC</t>
  </si>
  <si>
    <t>909-8132</t>
  </si>
  <si>
    <t>Offical Raspberry Pi Case, Red, White</t>
  </si>
  <si>
    <t>173-5595</t>
  </si>
  <si>
    <t>Raspberry Pi PoE_Board Power Over Ethernet (POE) for Raspberry Pi</t>
  </si>
  <si>
    <t>Integral Memory 64 GB MicroSDXC Micro SD Card</t>
  </si>
  <si>
    <t>180-5897</t>
  </si>
  <si>
    <t>TL-POE4824G</t>
  </si>
  <si>
    <t>PA</t>
  </si>
  <si>
    <t>PV</t>
  </si>
  <si>
    <t>Inst</t>
  </si>
  <si>
    <t>Maint/mois</t>
  </si>
  <si>
    <t>Maint/an</t>
  </si>
  <si>
    <r>
      <rPr>
        <sz val="12"/>
        <rFont val="Calibri"/>
        <family val="2"/>
        <scheme val="minor"/>
      </rPr>
      <t>EXP20</t>
    </r>
  </si>
  <si>
    <r>
      <rPr>
        <sz val="12"/>
        <rFont val="Calibri"/>
        <family val="2"/>
        <scheme val="minor"/>
      </rPr>
      <t>EXP40</t>
    </r>
  </si>
  <si>
    <r>
      <rPr>
        <sz val="12"/>
        <rFont val="Calibri"/>
        <family val="2"/>
        <scheme val="minor"/>
      </rPr>
      <t>EXP50</t>
    </r>
  </si>
  <si>
    <r>
      <rPr>
        <sz val="12"/>
        <rFont val="Calibri"/>
        <family val="2"/>
        <scheme val="minor"/>
      </rPr>
      <t>W53P</t>
    </r>
  </si>
  <si>
    <r>
      <rPr>
        <sz val="12"/>
        <rFont val="Calibri"/>
        <family val="2"/>
        <scheme val="minor"/>
      </rPr>
      <t>W53H</t>
    </r>
  </si>
  <si>
    <r>
      <rPr>
        <sz val="12"/>
        <rFont val="Calibri"/>
        <family val="2"/>
        <scheme val="minor"/>
      </rPr>
      <t>W60P</t>
    </r>
  </si>
  <si>
    <r>
      <rPr>
        <sz val="12"/>
        <rFont val="Calibri"/>
        <family val="2"/>
        <scheme val="minor"/>
      </rPr>
      <t>W56H</t>
    </r>
  </si>
  <si>
    <r>
      <rPr>
        <sz val="12"/>
        <rFont val="Calibri"/>
        <family val="2"/>
        <scheme val="minor"/>
      </rPr>
      <t>RT30</t>
    </r>
  </si>
  <si>
    <r>
      <rPr>
        <sz val="12"/>
        <rFont val="Calibri"/>
        <family val="2"/>
        <scheme val="minor"/>
      </rPr>
      <t>CP920</t>
    </r>
  </si>
  <si>
    <r>
      <rPr>
        <sz val="12"/>
        <rFont val="Calibri"/>
        <family val="2"/>
        <scheme val="minor"/>
      </rPr>
      <t>CP930W</t>
    </r>
  </si>
  <si>
    <r>
      <rPr>
        <sz val="12"/>
        <rFont val="Calibri"/>
        <family val="2"/>
        <scheme val="minor"/>
      </rPr>
      <t>CP960</t>
    </r>
  </si>
  <si>
    <r>
      <rPr>
        <sz val="12"/>
        <rFont val="Calibri"/>
        <family val="2"/>
        <scheme val="minor"/>
      </rPr>
      <t>CP960WM</t>
    </r>
  </si>
  <si>
    <r>
      <rPr>
        <sz val="12"/>
        <rFont val="Calibri"/>
        <family val="2"/>
        <scheme val="minor"/>
      </rPr>
      <t>EHS36</t>
    </r>
  </si>
  <si>
    <r>
      <rPr>
        <sz val="12"/>
        <rFont val="Calibri"/>
        <family val="2"/>
        <scheme val="minor"/>
      </rPr>
      <t>PS-T4</t>
    </r>
  </si>
  <si>
    <r>
      <rPr>
        <sz val="12"/>
        <rFont val="Calibri"/>
        <family val="2"/>
        <scheme val="minor"/>
      </rPr>
      <t>YLPOE30</t>
    </r>
  </si>
  <si>
    <r>
      <rPr>
        <sz val="12"/>
        <rFont val="Calibri"/>
        <family val="2"/>
        <scheme val="minor"/>
      </rPr>
      <t>M300</t>
    </r>
  </si>
  <si>
    <r>
      <rPr>
        <sz val="12"/>
        <rFont val="Calibri"/>
        <family val="2"/>
        <scheme val="minor"/>
      </rPr>
      <t>M700</t>
    </r>
  </si>
  <si>
    <r>
      <rPr>
        <sz val="12"/>
        <rFont val="Calibri"/>
        <family val="2"/>
        <scheme val="minor"/>
      </rPr>
      <t>M5</t>
    </r>
  </si>
  <si>
    <r>
      <rPr>
        <sz val="12"/>
        <rFont val="Calibri"/>
        <family val="2"/>
        <scheme val="minor"/>
      </rPr>
      <t>A100D</t>
    </r>
  </si>
  <si>
    <t>GS116LP-100EUS</t>
  </si>
  <si>
    <t>GS108LP-100EUS</t>
  </si>
  <si>
    <t>Injecteur POE   (TP-Link)</t>
  </si>
  <si>
    <t>Module SBC   (Raspberry Pi 4/4gb/64gb)</t>
  </si>
  <si>
    <t xml:space="preserve">Switch 16 ports POE   (Netgear GS116LP) </t>
  </si>
  <si>
    <t>Switch 8 ports POE   (Netgear GS108LP)</t>
  </si>
  <si>
    <t>Code</t>
  </si>
  <si>
    <t>GS324TP-100EUS</t>
  </si>
  <si>
    <t xml:space="preserve">Switch 24 ports POE   (Netgear GS324TP) </t>
  </si>
  <si>
    <t>Installation</t>
  </si>
  <si>
    <t>Maintenace</t>
  </si>
  <si>
    <t>Fin12</t>
  </si>
  <si>
    <t>Fin24</t>
  </si>
  <si>
    <t>Install Serv</t>
  </si>
  <si>
    <t>Marge</t>
  </si>
  <si>
    <t>Fin.</t>
  </si>
  <si>
    <t>Qte.</t>
  </si>
  <si>
    <t>Matérel supplémenatire</t>
  </si>
  <si>
    <t>Reprise Téléphone IP existant</t>
  </si>
  <si>
    <t>Téléphone IP uniquement</t>
  </si>
  <si>
    <t>Téléphone IP &amp; Applications Soft Phone / Mobile</t>
  </si>
  <si>
    <t>Profils</t>
  </si>
  <si>
    <t>Maint Standard</t>
  </si>
  <si>
    <t xml:space="preserve">Maint Standard: </t>
  </si>
  <si>
    <t>Maint Standard:</t>
  </si>
  <si>
    <t>Diff</t>
  </si>
  <si>
    <t>mois</t>
  </si>
  <si>
    <t>an</t>
  </si>
  <si>
    <t>Téléphones</t>
  </si>
  <si>
    <t>Licence / Serveur</t>
  </si>
  <si>
    <t>Maint Std</t>
  </si>
  <si>
    <t>Mens.</t>
  </si>
  <si>
    <t>Année</t>
  </si>
  <si>
    <t>T. à Fin24</t>
  </si>
  <si>
    <t>T. à Fin12</t>
  </si>
  <si>
    <t>Total Financement</t>
  </si>
  <si>
    <t>Coût Financement</t>
  </si>
  <si>
    <t>Total à Financer</t>
  </si>
  <si>
    <t>majoration sur 12 mois</t>
  </si>
  <si>
    <t>majoration sur 24 mois</t>
  </si>
  <si>
    <t>1ère année</t>
  </si>
  <si>
    <t>2ème année</t>
  </si>
  <si>
    <t>définitif</t>
  </si>
  <si>
    <t>online.net DEV1-L</t>
  </si>
  <si>
    <t>2ème serveur en fail over VPS (France)</t>
  </si>
  <si>
    <t>Autre matériel /Service</t>
  </si>
  <si>
    <t>Marge 3cx</t>
  </si>
  <si>
    <t>MARGE</t>
  </si>
  <si>
    <t>CLIENT</t>
  </si>
  <si>
    <t>Début</t>
  </si>
  <si>
    <t>Int. Banque</t>
  </si>
  <si>
    <t>Solde</t>
  </si>
  <si>
    <t>T. PA</t>
  </si>
  <si>
    <t>Fournisseurs</t>
  </si>
  <si>
    <t>%</t>
  </si>
  <si>
    <t>T. PV</t>
  </si>
  <si>
    <t>Réceptionnist</t>
  </si>
  <si>
    <t>Fanvil</t>
  </si>
  <si>
    <t>X210</t>
  </si>
  <si>
    <t>C600</t>
  </si>
  <si>
    <t>I12</t>
  </si>
  <si>
    <t>I18-video</t>
  </si>
  <si>
    <t>I30-video</t>
  </si>
  <si>
    <t>I31S</t>
  </si>
  <si>
    <t>PSU-5</t>
  </si>
  <si>
    <t>PSU-12</t>
  </si>
  <si>
    <t>BT20</t>
  </si>
  <si>
    <t>EHS20</t>
  </si>
  <si>
    <t>HT201</t>
  </si>
  <si>
    <t>HT202</t>
  </si>
  <si>
    <t>T23G</t>
  </si>
  <si>
    <t>T27G</t>
  </si>
  <si>
    <t>T29G</t>
  </si>
  <si>
    <t>T40G</t>
  </si>
  <si>
    <t>T41S</t>
  </si>
  <si>
    <t>T42S</t>
  </si>
  <si>
    <t>T46S</t>
  </si>
  <si>
    <t>T48S</t>
  </si>
  <si>
    <t>T53</t>
  </si>
  <si>
    <t>T54W</t>
  </si>
  <si>
    <t>T57W</t>
  </si>
  <si>
    <t>T58A</t>
  </si>
  <si>
    <t>D120</t>
  </si>
  <si>
    <t>D305</t>
  </si>
  <si>
    <t>D315</t>
  </si>
  <si>
    <t>D345</t>
  </si>
  <si>
    <t>D375</t>
  </si>
  <si>
    <t>D385</t>
  </si>
  <si>
    <t>D712</t>
  </si>
  <si>
    <t>D725</t>
  </si>
  <si>
    <t>D745</t>
  </si>
  <si>
    <t>D765</t>
  </si>
  <si>
    <t>X1P</t>
  </si>
  <si>
    <t>X2P</t>
  </si>
  <si>
    <t>X3S</t>
  </si>
  <si>
    <t>X3SP</t>
  </si>
  <si>
    <t>X4G</t>
  </si>
  <si>
    <t>X5S</t>
  </si>
  <si>
    <t>X6</t>
  </si>
  <si>
    <t>X7C</t>
  </si>
  <si>
    <t>X7</t>
  </si>
  <si>
    <t>H2S</t>
  </si>
  <si>
    <t>H3</t>
  </si>
  <si>
    <t>H5</t>
  </si>
  <si>
    <t>Sort</t>
  </si>
  <si>
    <t>Vente</t>
  </si>
  <si>
    <t>calc inst</t>
  </si>
  <si>
    <t>Installation:</t>
  </si>
  <si>
    <t>Total HT:</t>
  </si>
  <si>
    <t>C520</t>
  </si>
  <si>
    <t>Prix U.</t>
  </si>
  <si>
    <t>DevCount</t>
  </si>
  <si>
    <t>ProfCount</t>
  </si>
  <si>
    <t>Téléphone IP "Remote" (max 1 par site distant)</t>
  </si>
  <si>
    <t>Remise</t>
  </si>
  <si>
    <t>Remise:</t>
  </si>
  <si>
    <t>Total TTC:</t>
  </si>
  <si>
    <t>O.P.</t>
  </si>
  <si>
    <t>Ordre permanant:</t>
  </si>
  <si>
    <t>Soft Phone / Mobile uniquement</t>
  </si>
  <si>
    <t>Modification du plan de numérotation</t>
  </si>
  <si>
    <t>Création d'une nouvelle extension</t>
  </si>
  <si>
    <t>Création d'un "Digital réceptionnist"</t>
  </si>
  <si>
    <t>Ticket support "classique"</t>
  </si>
  <si>
    <t>Ticket support "urgent" 24/7</t>
  </si>
  <si>
    <t>JPG</t>
  </si>
  <si>
    <t>D3</t>
  </si>
  <si>
    <t>D7</t>
  </si>
  <si>
    <t>D715</t>
  </si>
  <si>
    <t>D735</t>
  </si>
  <si>
    <t>D785</t>
  </si>
  <si>
    <t>PDF</t>
  </si>
  <si>
    <t>12mois</t>
  </si>
  <si>
    <t>24mois</t>
  </si>
  <si>
    <t>Tot12mois</t>
  </si>
  <si>
    <t>Tot24mois</t>
  </si>
  <si>
    <t>MaintMois</t>
  </si>
  <si>
    <t>MaintAn</t>
  </si>
  <si>
    <t>I12-2button</t>
  </si>
  <si>
    <t>D715-W</t>
  </si>
  <si>
    <t>D735-W</t>
  </si>
  <si>
    <t>D785-W</t>
  </si>
  <si>
    <t>D7-W</t>
  </si>
  <si>
    <t>PVente</t>
  </si>
  <si>
    <t>PMaintMois</t>
  </si>
  <si>
    <t>PInstallation</t>
  </si>
  <si>
    <t>YHS33</t>
  </si>
  <si>
    <t>PV Dev</t>
  </si>
  <si>
    <t>PS-T2</t>
  </si>
  <si>
    <t>Volume</t>
  </si>
  <si>
    <t>JL383A#ABB</t>
  </si>
  <si>
    <t>Switch 12 ports POE   (HP 1920S 24G 12+12)</t>
  </si>
  <si>
    <t>Switch 4 ports POE   (HP 1920S 8G 4+4)</t>
  </si>
  <si>
    <t>M215-SC</t>
  </si>
  <si>
    <t>M15-SC</t>
  </si>
  <si>
    <t>C520-MIC</t>
  </si>
  <si>
    <t>A170-CONV</t>
  </si>
  <si>
    <t>A150-OTE</t>
  </si>
  <si>
    <t>A230-DECT-Dongle</t>
  </si>
  <si>
    <t>A5-PoE-injector</t>
  </si>
  <si>
    <t>EHS-adapter</t>
  </si>
  <si>
    <t>PSU(10watt)</t>
  </si>
  <si>
    <t>Grandstream</t>
  </si>
  <si>
    <t>HT801</t>
  </si>
  <si>
    <t>HT802</t>
  </si>
  <si>
    <t>T19P-E2</t>
  </si>
  <si>
    <t>T21P-E2</t>
  </si>
  <si>
    <t>Nombre de canaux:</t>
  </si>
  <si>
    <t>Financement:</t>
  </si>
  <si>
    <t>Edition Logiciel:</t>
  </si>
  <si>
    <t>Entreprise</t>
  </si>
  <si>
    <t>Offre de prix Lvoip - Instance 3cx dédiée</t>
  </si>
  <si>
    <t>Module expansion/ATA/autre</t>
  </si>
  <si>
    <t>Matériel supplémentaire</t>
  </si>
  <si>
    <t>Qté.</t>
  </si>
  <si>
    <t>Matériel / Licence:</t>
  </si>
  <si>
    <t>Abonnement définitif:</t>
  </si>
  <si>
    <t>Plantronics</t>
  </si>
  <si>
    <t>CS520</t>
  </si>
  <si>
    <t>M70</t>
  </si>
  <si>
    <t>SBC sur Esxi existant Debian 4 vCPU/ 4 gb RAM / 50 gb Disk</t>
  </si>
  <si>
    <t>M85</t>
  </si>
  <si>
    <t>M65</t>
  </si>
  <si>
    <t>M325</t>
  </si>
  <si>
    <t>M25</t>
  </si>
  <si>
    <t>C52-SP</t>
  </si>
  <si>
    <t>A100M</t>
  </si>
  <si>
    <t>I10</t>
  </si>
  <si>
    <t>X3SG</t>
  </si>
  <si>
    <t>X3U</t>
  </si>
  <si>
    <t>X4U</t>
  </si>
  <si>
    <t>X5U</t>
  </si>
  <si>
    <t>X6U</t>
  </si>
  <si>
    <t>X7A</t>
  </si>
  <si>
    <t>X210i</t>
  </si>
  <si>
    <t>T53W</t>
  </si>
  <si>
    <t>VP59</t>
  </si>
  <si>
    <t>W41P</t>
  </si>
  <si>
    <t>D335</t>
  </si>
  <si>
    <t>D717</t>
  </si>
  <si>
    <t>D717-W</t>
  </si>
  <si>
    <t>M80</t>
  </si>
  <si>
    <t>M90</t>
  </si>
  <si>
    <t>I10V</t>
  </si>
  <si>
    <t>I10-02P</t>
  </si>
  <si>
    <t>I16V</t>
  </si>
  <si>
    <t>I20S</t>
  </si>
  <si>
    <t>i23S</t>
  </si>
  <si>
    <t>i32V</t>
  </si>
  <si>
    <t>i33V</t>
  </si>
  <si>
    <t>Switch 24 ports POE   (HP Aruba 1930)</t>
  </si>
  <si>
    <t>Nom du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</si>
</sst>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€&quot;#,##0.00"/>
    <numFmt numFmtId="166" formatCode="#,##0.00_ ;[Red]\-#,##0.00\ "/>
  </numFmts>
  <fonts count="3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2"/>
      <color rgb="FF00B0F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92D05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92D05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2"/>
      <name val="Calibri"/>
      <family val="2"/>
      <scheme val="minor"/>
    </font>
    <font>
      <sz val="12"/>
      <color rgb="FF0070C0"/>
      <name val="Calibri"/>
      <family val="2"/>
      <scheme val="minor"/>
    </font>
    <font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color rgb="FF7030A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7030A0"/>
      <name val="Calibri"/>
      <family val="2"/>
      <scheme val="minor"/>
    </font>
    <font>
      <sz val="12"/>
      <color rgb="FFC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u/>
      <sz val="13"/>
      <color theme="10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00B050"/>
      </right>
      <top/>
      <bottom/>
      <diagonal/>
    </border>
    <border>
      <left style="medium">
        <color rgb="FF92D050"/>
      </left>
      <right style="medium">
        <color rgb="FF00B050"/>
      </right>
      <top/>
      <bottom style="medium">
        <color rgb="FF92D05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 style="medium">
        <color rgb="FF92D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</borders>
  <cellStyleXfs count="3">
    <xf numFmtId="0" fontId="0" fillId="0" borderId="0"/>
    <xf numFmtId="0" fontId="6" fillId="0" borderId="0"/>
    <xf numFmtId="0" fontId="26" fillId="0" borderId="0" applyNumberFormat="0" applyFill="0" applyBorder="0" applyAlignment="0" applyProtection="0"/>
  </cellStyleXfs>
  <cellXfs count="421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3" fontId="0" fillId="0" borderId="5" xfId="0" applyNumberFormat="1" applyBorder="1" applyAlignment="1">
      <alignment vertical="center"/>
    </xf>
    <xf numFmtId="0" fontId="0" fillId="0" borderId="6" xfId="0" applyBorder="1" applyAlignment="1">
      <alignment horizontal="center" vertical="center"/>
    </xf>
    <xf numFmtId="3" fontId="0" fillId="0" borderId="7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Fill="1"/>
    <xf numFmtId="0" fontId="1" fillId="0" borderId="13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vertical="center"/>
    </xf>
    <xf numFmtId="4" fontId="2" fillId="0" borderId="3" xfId="0" applyNumberFormat="1" applyFont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/>
    <xf numFmtId="0" fontId="0" fillId="0" borderId="7" xfId="0" applyBorder="1"/>
    <xf numFmtId="0" fontId="1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0" fillId="0" borderId="7" xfId="0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/>
    <xf numFmtId="0" fontId="0" fillId="0" borderId="0" xfId="0" applyBorder="1"/>
    <xf numFmtId="0" fontId="0" fillId="0" borderId="15" xfId="0" applyBorder="1"/>
    <xf numFmtId="0" fontId="0" fillId="0" borderId="8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4" fontId="2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Fill="1" applyBorder="1"/>
    <xf numFmtId="4" fontId="0" fillId="0" borderId="0" xfId="0" applyNumberFormat="1"/>
    <xf numFmtId="4" fontId="2" fillId="0" borderId="0" xfId="0" applyNumberFormat="1" applyFont="1"/>
    <xf numFmtId="0" fontId="8" fillId="0" borderId="0" xfId="1" applyFont="1" applyAlignment="1">
      <alignment horizontal="left" vertical="top"/>
    </xf>
    <xf numFmtId="4" fontId="8" fillId="0" borderId="0" xfId="1" applyNumberFormat="1" applyFont="1" applyAlignment="1">
      <alignment horizontal="right" vertical="top"/>
    </xf>
    <xf numFmtId="0" fontId="8" fillId="0" borderId="0" xfId="1" applyFont="1" applyAlignment="1">
      <alignment horizontal="right" vertical="top"/>
    </xf>
    <xf numFmtId="0" fontId="9" fillId="0" borderId="0" xfId="1" applyFont="1" applyAlignment="1">
      <alignment horizontal="center" vertical="top"/>
    </xf>
    <xf numFmtId="4" fontId="9" fillId="0" borderId="0" xfId="1" applyNumberFormat="1" applyFont="1" applyAlignment="1">
      <alignment horizontal="center" vertical="top"/>
    </xf>
    <xf numFmtId="4" fontId="2" fillId="0" borderId="0" xfId="1" applyNumberFormat="1" applyFont="1" applyAlignment="1">
      <alignment horizontal="right" vertical="top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11" fillId="0" borderId="0" xfId="0" applyNumberFormat="1" applyFont="1" applyBorder="1" applyAlignment="1" applyProtection="1">
      <alignment vertical="center"/>
    </xf>
    <xf numFmtId="4" fontId="2" fillId="0" borderId="13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4" fontId="2" fillId="0" borderId="14" xfId="0" applyNumberFormat="1" applyFont="1" applyBorder="1" applyAlignment="1" applyProtection="1">
      <alignment horizontal="right" vertical="center"/>
    </xf>
    <xf numFmtId="4" fontId="2" fillId="0" borderId="0" xfId="0" applyNumberFormat="1" applyFont="1" applyBorder="1" applyAlignment="1" applyProtection="1">
      <alignment horizontal="right" vertical="center"/>
    </xf>
    <xf numFmtId="4" fontId="2" fillId="0" borderId="3" xfId="0" applyNumberFormat="1" applyFont="1" applyBorder="1" applyAlignment="1" applyProtection="1">
      <alignment horizontal="right" vertical="center"/>
    </xf>
    <xf numFmtId="4" fontId="11" fillId="0" borderId="12" xfId="0" applyNumberFormat="1" applyFont="1" applyBorder="1" applyAlignment="1" applyProtection="1">
      <alignment vertical="center"/>
    </xf>
    <xf numFmtId="4" fontId="11" fillId="0" borderId="2" xfId="0" applyNumberFormat="1" applyFont="1" applyBorder="1" applyAlignment="1" applyProtection="1">
      <alignment vertical="center"/>
    </xf>
    <xf numFmtId="4" fontId="11" fillId="0" borderId="2" xfId="0" applyNumberFormat="1" applyFont="1" applyFill="1" applyBorder="1" applyAlignment="1" applyProtection="1">
      <alignment vertical="center"/>
    </xf>
    <xf numFmtId="4" fontId="11" fillId="0" borderId="14" xfId="0" applyNumberFormat="1" applyFont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4" fontId="11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/>
    <xf numFmtId="0" fontId="0" fillId="0" borderId="17" xfId="0" applyBorder="1"/>
    <xf numFmtId="4" fontId="1" fillId="0" borderId="17" xfId="0" applyNumberFormat="1" applyFont="1" applyBorder="1" applyAlignment="1">
      <alignment horizontal="center"/>
    </xf>
    <xf numFmtId="10" fontId="3" fillId="0" borderId="17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0" xfId="0" applyFont="1" applyBorder="1"/>
    <xf numFmtId="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9" xfId="0" applyFill="1" applyBorder="1"/>
    <xf numFmtId="4" fontId="0" fillId="0" borderId="0" xfId="0" applyNumberFormat="1" applyBorder="1"/>
    <xf numFmtId="4" fontId="2" fillId="0" borderId="0" xfId="0" applyNumberFormat="1" applyFont="1" applyBorder="1"/>
    <xf numFmtId="4" fontId="2" fillId="0" borderId="20" xfId="0" applyNumberFormat="1" applyFont="1" applyBorder="1"/>
    <xf numFmtId="0" fontId="0" fillId="0" borderId="19" xfId="0" applyBorder="1"/>
    <xf numFmtId="0" fontId="0" fillId="0" borderId="21" xfId="0" applyBorder="1"/>
    <xf numFmtId="0" fontId="0" fillId="0" borderId="22" xfId="0" applyBorder="1"/>
    <xf numFmtId="4" fontId="10" fillId="0" borderId="22" xfId="0" applyNumberFormat="1" applyFont="1" applyBorder="1"/>
    <xf numFmtId="4" fontId="2" fillId="0" borderId="23" xfId="0" applyNumberFormat="1" applyFont="1" applyBorder="1"/>
    <xf numFmtId="4" fontId="0" fillId="0" borderId="17" xfId="0" applyNumberFormat="1" applyBorder="1"/>
    <xf numFmtId="4" fontId="0" fillId="0" borderId="22" xfId="0" applyNumberFormat="1" applyBorder="1"/>
    <xf numFmtId="4" fontId="2" fillId="0" borderId="22" xfId="0" applyNumberFormat="1" applyFont="1" applyBorder="1"/>
    <xf numFmtId="0" fontId="1" fillId="0" borderId="8" xfId="0" applyFont="1" applyBorder="1" applyAlignment="1" applyProtection="1">
      <alignment horizontal="center" vertical="center"/>
    </xf>
    <xf numFmtId="4" fontId="10" fillId="0" borderId="0" xfId="0" applyNumberFormat="1" applyFont="1" applyBorder="1"/>
    <xf numFmtId="0" fontId="1" fillId="0" borderId="8" xfId="0" applyFont="1" applyBorder="1" applyAlignment="1" applyProtection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4" fontId="9" fillId="0" borderId="0" xfId="1" applyNumberFormat="1" applyFont="1" applyAlignment="1">
      <alignment horizontal="right" vertical="top"/>
    </xf>
    <xf numFmtId="164" fontId="0" fillId="0" borderId="0" xfId="0" applyNumberFormat="1" applyBorder="1"/>
    <xf numFmtId="0" fontId="14" fillId="0" borderId="17" xfId="0" applyFont="1" applyBorder="1" applyAlignment="1">
      <alignment horizontal="right"/>
    </xf>
    <xf numFmtId="9" fontId="3" fillId="0" borderId="24" xfId="1" applyNumberFormat="1" applyFont="1" applyBorder="1" applyAlignment="1">
      <alignment horizontal="left" vertical="top"/>
    </xf>
    <xf numFmtId="0" fontId="1" fillId="0" borderId="19" xfId="0" applyFont="1" applyBorder="1" applyAlignment="1">
      <alignment horizontal="center"/>
    </xf>
    <xf numFmtId="4" fontId="2" fillId="0" borderId="19" xfId="0" applyNumberFormat="1" applyFont="1" applyBorder="1"/>
    <xf numFmtId="0" fontId="9" fillId="0" borderId="20" xfId="1" applyFont="1" applyBorder="1" applyAlignment="1">
      <alignment horizontal="center" vertical="top"/>
    </xf>
    <xf numFmtId="4" fontId="0" fillId="0" borderId="0" xfId="0" applyNumberFormat="1" applyAlignment="1" applyProtection="1">
      <alignment horizontal="left" vertical="center"/>
    </xf>
    <xf numFmtId="0" fontId="0" fillId="3" borderId="0" xfId="0" applyFill="1"/>
    <xf numFmtId="0" fontId="15" fillId="3" borderId="0" xfId="0" applyFont="1" applyFill="1" applyBorder="1" applyAlignment="1" applyProtection="1">
      <alignment horizontal="center" vertical="center"/>
    </xf>
    <xf numFmtId="4" fontId="15" fillId="3" borderId="0" xfId="0" applyNumberFormat="1" applyFont="1" applyFill="1" applyBorder="1" applyAlignment="1" applyProtection="1">
      <alignment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/>
    </xf>
    <xf numFmtId="3" fontId="1" fillId="4" borderId="7" xfId="0" applyNumberFormat="1" applyFont="1" applyFill="1" applyBorder="1" applyAlignment="1">
      <alignment vertical="center"/>
    </xf>
    <xf numFmtId="9" fontId="13" fillId="0" borderId="0" xfId="1" applyNumberFormat="1" applyFont="1" applyBorder="1" applyAlignment="1">
      <alignment horizontal="center" vertical="top"/>
    </xf>
    <xf numFmtId="4" fontId="11" fillId="0" borderId="0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 applyProtection="1">
      <alignment horizontal="right" vertical="center"/>
    </xf>
    <xf numFmtId="4" fontId="2" fillId="0" borderId="13" xfId="0" applyNumberFormat="1" applyFont="1" applyBorder="1" applyAlignment="1" applyProtection="1">
      <alignment horizontal="right" vertical="center"/>
    </xf>
    <xf numFmtId="4" fontId="2" fillId="0" borderId="2" xfId="0" applyNumberFormat="1" applyFont="1" applyBorder="1" applyAlignment="1" applyProtection="1">
      <alignment horizontal="right" vertic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0" fillId="0" borderId="21" xfId="0" applyFill="1" applyBorder="1"/>
    <xf numFmtId="0" fontId="9" fillId="0" borderId="0" xfId="1" applyFont="1" applyBorder="1" applyAlignment="1">
      <alignment horizontal="center" vertical="top"/>
    </xf>
    <xf numFmtId="9" fontId="3" fillId="0" borderId="17" xfId="1" applyNumberFormat="1" applyFont="1" applyBorder="1" applyAlignment="1">
      <alignment horizontal="left" vertical="top"/>
    </xf>
    <xf numFmtId="10" fontId="1" fillId="0" borderId="17" xfId="0" applyNumberFormat="1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0" fillId="0" borderId="0" xfId="0" applyNumberFormat="1"/>
    <xf numFmtId="165" fontId="13" fillId="0" borderId="0" xfId="0" applyNumberFormat="1" applyFont="1" applyAlignment="1">
      <alignment horizontal="center"/>
    </xf>
    <xf numFmtId="4" fontId="11" fillId="0" borderId="0" xfId="0" applyNumberFormat="1" applyFont="1" applyBorder="1" applyAlignment="1" applyProtection="1">
      <alignment horizontal="right" vertical="center"/>
    </xf>
    <xf numFmtId="0" fontId="0" fillId="0" borderId="26" xfId="0" applyBorder="1" applyAlignment="1" applyProtection="1">
      <alignment horizontal="right" vertical="center"/>
    </xf>
    <xf numFmtId="4" fontId="11" fillId="0" borderId="27" xfId="0" applyNumberFormat="1" applyFont="1" applyBorder="1" applyAlignment="1" applyProtection="1">
      <alignment horizontal="right" vertical="center"/>
    </xf>
    <xf numFmtId="0" fontId="0" fillId="0" borderId="34" xfId="0" applyBorder="1" applyAlignment="1" applyProtection="1">
      <alignment horizontal="right" vertical="center"/>
    </xf>
    <xf numFmtId="4" fontId="11" fillId="0" borderId="35" xfId="0" applyNumberFormat="1" applyFont="1" applyBorder="1" applyAlignment="1" applyProtection="1">
      <alignment horizontal="right" vertical="center"/>
    </xf>
    <xf numFmtId="0" fontId="0" fillId="0" borderId="35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36" xfId="0" applyBorder="1" applyAlignment="1" applyProtection="1">
      <alignment horizontal="right" vertical="center"/>
    </xf>
    <xf numFmtId="0" fontId="1" fillId="2" borderId="32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right" vertical="center"/>
    </xf>
    <xf numFmtId="4" fontId="3" fillId="0" borderId="33" xfId="0" applyNumberFormat="1" applyFont="1" applyBorder="1" applyAlignment="1">
      <alignment horizontal="right" vertical="center"/>
    </xf>
    <xf numFmtId="4" fontId="3" fillId="0" borderId="35" xfId="0" applyNumberFormat="1" applyFont="1" applyBorder="1" applyAlignment="1">
      <alignment horizontal="right" vertical="center"/>
    </xf>
    <xf numFmtId="4" fontId="3" fillId="0" borderId="37" xfId="0" applyNumberFormat="1" applyFont="1" applyBorder="1" applyAlignment="1" applyProtection="1">
      <alignment vertical="center"/>
    </xf>
    <xf numFmtId="0" fontId="1" fillId="2" borderId="38" xfId="0" applyFont="1" applyFill="1" applyBorder="1" applyAlignment="1" applyProtection="1">
      <alignment horizontal="center" vertical="center"/>
    </xf>
    <xf numFmtId="4" fontId="3" fillId="2" borderId="39" xfId="0" applyNumberFormat="1" applyFont="1" applyFill="1" applyBorder="1" applyAlignment="1" applyProtection="1">
      <alignment horizontal="center" vertical="center"/>
    </xf>
    <xf numFmtId="0" fontId="1" fillId="2" borderId="40" xfId="0" applyFont="1" applyFill="1" applyBorder="1" applyAlignment="1" applyProtection="1">
      <alignment horizontal="center" vertical="center"/>
    </xf>
    <xf numFmtId="4" fontId="13" fillId="2" borderId="41" xfId="0" applyNumberFormat="1" applyFont="1" applyFill="1" applyBorder="1" applyAlignment="1" applyProtection="1">
      <alignment horizontal="center" vertical="center"/>
    </xf>
    <xf numFmtId="4" fontId="13" fillId="2" borderId="41" xfId="0" applyNumberFormat="1" applyFont="1" applyFill="1" applyBorder="1" applyAlignment="1">
      <alignment horizontal="center" vertical="center"/>
    </xf>
    <xf numFmtId="4" fontId="3" fillId="0" borderId="6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4" fontId="11" fillId="0" borderId="42" xfId="0" applyNumberFormat="1" applyFont="1" applyBorder="1" applyAlignment="1" applyProtection="1">
      <alignment horizontal="right" vertical="center"/>
    </xf>
    <xf numFmtId="4" fontId="11" fillId="0" borderId="43" xfId="0" applyNumberFormat="1" applyFont="1" applyBorder="1" applyAlignment="1">
      <alignment horizontal="right" vertical="center"/>
    </xf>
    <xf numFmtId="4" fontId="3" fillId="0" borderId="44" xfId="0" applyNumberFormat="1" applyFont="1" applyBorder="1" applyAlignment="1">
      <alignment horizontal="right" vertical="center"/>
    </xf>
    <xf numFmtId="4" fontId="3" fillId="0" borderId="45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 applyProtection="1">
      <alignment horizontal="right" vertical="center"/>
    </xf>
    <xf numFmtId="4" fontId="11" fillId="0" borderId="46" xfId="0" applyNumberFormat="1" applyFont="1" applyBorder="1" applyAlignment="1" applyProtection="1">
      <alignment horizontal="right" vertical="center"/>
    </xf>
    <xf numFmtId="4" fontId="11" fillId="0" borderId="47" xfId="0" applyNumberFormat="1" applyFont="1" applyBorder="1" applyAlignment="1" applyProtection="1">
      <alignment horizontal="right" vertical="center"/>
    </xf>
    <xf numFmtId="14" fontId="0" fillId="0" borderId="0" xfId="0" applyNumberFormat="1"/>
    <xf numFmtId="0" fontId="1" fillId="0" borderId="1" xfId="0" applyFont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/>
    </xf>
    <xf numFmtId="3" fontId="2" fillId="0" borderId="0" xfId="0" applyNumberFormat="1" applyFont="1" applyBorder="1" applyAlignment="1" applyProtection="1">
      <alignment vertical="center"/>
    </xf>
    <xf numFmtId="0" fontId="13" fillId="0" borderId="0" xfId="0" applyFont="1"/>
    <xf numFmtId="1" fontId="13" fillId="0" borderId="0" xfId="1" applyNumberFormat="1" applyFont="1" applyBorder="1" applyAlignment="1">
      <alignment horizontal="right" vertical="top"/>
    </xf>
    <xf numFmtId="14" fontId="0" fillId="0" borderId="12" xfId="0" applyNumberFormat="1" applyBorder="1"/>
    <xf numFmtId="4" fontId="11" fillId="0" borderId="13" xfId="0" applyNumberFormat="1" applyFont="1" applyBorder="1"/>
    <xf numFmtId="14" fontId="0" fillId="0" borderId="2" xfId="0" applyNumberFormat="1" applyBorder="1"/>
    <xf numFmtId="4" fontId="11" fillId="0" borderId="3" xfId="0" applyNumberFormat="1" applyFont="1" applyBorder="1"/>
    <xf numFmtId="14" fontId="0" fillId="0" borderId="4" xfId="0" applyNumberFormat="1" applyBorder="1"/>
    <xf numFmtId="4" fontId="11" fillId="0" borderId="5" xfId="0" applyNumberFormat="1" applyFont="1" applyBorder="1"/>
    <xf numFmtId="4" fontId="0" fillId="0" borderId="13" xfId="0" applyNumberFormat="1" applyBorder="1"/>
    <xf numFmtId="4" fontId="16" fillId="0" borderId="14" xfId="0" applyNumberFormat="1" applyFont="1" applyBorder="1"/>
    <xf numFmtId="4" fontId="16" fillId="0" borderId="0" xfId="0" applyNumberFormat="1" applyFont="1" applyBorder="1"/>
    <xf numFmtId="4" fontId="16" fillId="0" borderId="15" xfId="0" applyNumberFormat="1" applyFont="1" applyBorder="1"/>
    <xf numFmtId="166" fontId="10" fillId="0" borderId="14" xfId="0" applyNumberFormat="1" applyFont="1" applyBorder="1"/>
    <xf numFmtId="166" fontId="10" fillId="0" borderId="0" xfId="0" applyNumberFormat="1" applyFont="1" applyBorder="1"/>
    <xf numFmtId="166" fontId="10" fillId="0" borderId="15" xfId="0" applyNumberFormat="1" applyFont="1" applyBorder="1"/>
    <xf numFmtId="10" fontId="0" fillId="0" borderId="0" xfId="0" applyNumberFormat="1"/>
    <xf numFmtId="4" fontId="3" fillId="0" borderId="6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9" fillId="0" borderId="0" xfId="1" applyFont="1" applyAlignment="1">
      <alignment horizontal="center" vertical="top"/>
    </xf>
    <xf numFmtId="0" fontId="10" fillId="0" borderId="0" xfId="1" applyFont="1" applyAlignment="1">
      <alignment horizontal="left" vertical="top"/>
    </xf>
    <xf numFmtId="0" fontId="10" fillId="0" borderId="0" xfId="1" applyFont="1" applyFill="1" applyAlignment="1">
      <alignment horizontal="left" vertical="top"/>
    </xf>
    <xf numFmtId="0" fontId="8" fillId="0" borderId="0" xfId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" fontId="10" fillId="0" borderId="0" xfId="1" applyNumberFormat="1" applyFont="1" applyAlignment="1">
      <alignment horizontal="right" vertical="top"/>
    </xf>
    <xf numFmtId="0" fontId="0" fillId="0" borderId="15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0" fontId="13" fillId="0" borderId="0" xfId="0" applyNumberFormat="1" applyFont="1" applyAlignment="1">
      <alignment horizontal="center"/>
    </xf>
    <xf numFmtId="0" fontId="13" fillId="0" borderId="0" xfId="1" applyFont="1" applyBorder="1" applyAlignment="1">
      <alignment horizontal="center" vertical="top"/>
    </xf>
    <xf numFmtId="9" fontId="3" fillId="0" borderId="0" xfId="1" applyNumberFormat="1" applyFont="1" applyBorder="1" applyAlignment="1">
      <alignment horizontal="left" vertical="top"/>
    </xf>
    <xf numFmtId="4" fontId="2" fillId="0" borderId="0" xfId="0" applyNumberFormat="1" applyFont="1" applyAlignment="1">
      <alignment horizontal="right"/>
    </xf>
    <xf numFmtId="0" fontId="1" fillId="0" borderId="13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8" xfId="0" applyFont="1" applyBorder="1" applyAlignment="1" applyProtection="1">
      <alignment horizontal="center" vertical="center"/>
    </xf>
    <xf numFmtId="4" fontId="2" fillId="5" borderId="0" xfId="0" applyNumberFormat="1" applyFont="1" applyFill="1" applyBorder="1" applyAlignment="1" applyProtection="1">
      <alignment vertical="center"/>
    </xf>
    <xf numFmtId="3" fontId="2" fillId="5" borderId="0" xfId="0" applyNumberFormat="1" applyFont="1" applyFill="1" applyBorder="1" applyAlignment="1" applyProtection="1">
      <alignment vertical="center"/>
    </xf>
    <xf numFmtId="4" fontId="2" fillId="5" borderId="3" xfId="0" applyNumberFormat="1" applyFont="1" applyFill="1" applyBorder="1" applyAlignment="1" applyProtection="1">
      <alignment vertical="center"/>
    </xf>
    <xf numFmtId="4" fontId="11" fillId="5" borderId="2" xfId="0" applyNumberFormat="1" applyFont="1" applyFill="1" applyBorder="1" applyAlignment="1" applyProtection="1">
      <alignment vertical="center"/>
    </xf>
    <xf numFmtId="4" fontId="11" fillId="5" borderId="0" xfId="0" applyNumberFormat="1" applyFont="1" applyFill="1" applyBorder="1" applyAlignment="1" applyProtection="1">
      <alignment vertical="center"/>
    </xf>
    <xf numFmtId="4" fontId="2" fillId="5" borderId="0" xfId="0" applyNumberFormat="1" applyFont="1" applyFill="1" applyBorder="1" applyAlignment="1" applyProtection="1">
      <alignment horizontal="right" vertical="center"/>
    </xf>
    <xf numFmtId="4" fontId="2" fillId="5" borderId="2" xfId="0" applyNumberFormat="1" applyFont="1" applyFill="1" applyBorder="1" applyAlignment="1" applyProtection="1">
      <alignment horizontal="right" vertical="center"/>
    </xf>
    <xf numFmtId="4" fontId="2" fillId="5" borderId="3" xfId="0" applyNumberFormat="1" applyFont="1" applyFill="1" applyBorder="1" applyAlignment="1" applyProtection="1">
      <alignment horizontal="right" vertical="center"/>
    </xf>
    <xf numFmtId="4" fontId="2" fillId="5" borderId="15" xfId="0" applyNumberFormat="1" applyFont="1" applyFill="1" applyBorder="1" applyAlignment="1" applyProtection="1">
      <alignment vertical="center"/>
    </xf>
    <xf numFmtId="3" fontId="2" fillId="5" borderId="15" xfId="0" applyNumberFormat="1" applyFont="1" applyFill="1" applyBorder="1" applyAlignment="1" applyProtection="1">
      <alignment vertical="center"/>
    </xf>
    <xf numFmtId="4" fontId="11" fillId="5" borderId="15" xfId="0" applyNumberFormat="1" applyFont="1" applyFill="1" applyBorder="1" applyAlignment="1" applyProtection="1">
      <alignment vertical="center"/>
    </xf>
    <xf numFmtId="4" fontId="2" fillId="5" borderId="5" xfId="0" applyNumberFormat="1" applyFont="1" applyFill="1" applyBorder="1" applyAlignment="1" applyProtection="1">
      <alignment vertical="center"/>
    </xf>
    <xf numFmtId="4" fontId="11" fillId="5" borderId="4" xfId="0" applyNumberFormat="1" applyFont="1" applyFill="1" applyBorder="1" applyAlignment="1" applyProtection="1">
      <alignment vertical="center"/>
    </xf>
    <xf numFmtId="4" fontId="2" fillId="5" borderId="15" xfId="0" applyNumberFormat="1" applyFont="1" applyFill="1" applyBorder="1" applyAlignment="1" applyProtection="1">
      <alignment horizontal="right" vertical="center"/>
    </xf>
    <xf numFmtId="4" fontId="2" fillId="5" borderId="4" xfId="0" applyNumberFormat="1" applyFont="1" applyFill="1" applyBorder="1" applyAlignment="1" applyProtection="1">
      <alignment horizontal="right" vertical="center"/>
    </xf>
    <xf numFmtId="4" fontId="2" fillId="5" borderId="5" xfId="0" applyNumberFormat="1" applyFont="1" applyFill="1" applyBorder="1" applyAlignment="1" applyProtection="1">
      <alignment horizontal="right" vertical="center"/>
    </xf>
    <xf numFmtId="0" fontId="4" fillId="5" borderId="2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15" xfId="0" applyFont="1" applyFill="1" applyBorder="1" applyAlignment="1" applyProtection="1">
      <alignment horizontal="center" vertical="center"/>
    </xf>
    <xf numFmtId="0" fontId="0" fillId="5" borderId="0" xfId="0" applyFill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5" xfId="0" applyFill="1" applyBorder="1" applyAlignment="1">
      <alignment vertical="center"/>
    </xf>
    <xf numFmtId="0" fontId="4" fillId="5" borderId="4" xfId="0" applyFont="1" applyFill="1" applyBorder="1" applyAlignment="1" applyProtection="1">
      <alignment horizontal="left" vertical="center"/>
    </xf>
    <xf numFmtId="0" fontId="4" fillId="5" borderId="15" xfId="0" applyFont="1" applyFill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left" vertical="center"/>
    </xf>
    <xf numFmtId="0" fontId="0" fillId="5" borderId="0" xfId="0" applyFill="1"/>
    <xf numFmtId="0" fontId="1" fillId="0" borderId="17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 applyProtection="1">
      <alignment horizontal="center" vertical="center"/>
    </xf>
    <xf numFmtId="4" fontId="0" fillId="0" borderId="3" xfId="0" applyNumberFormat="1" applyBorder="1"/>
    <xf numFmtId="4" fontId="0" fillId="0" borderId="5" xfId="0" applyNumberFormat="1" applyBorder="1"/>
    <xf numFmtId="4" fontId="12" fillId="0" borderId="49" xfId="0" applyNumberFormat="1" applyFont="1" applyBorder="1" applyAlignment="1">
      <alignment horizontal="right" vertical="center"/>
    </xf>
    <xf numFmtId="4" fontId="13" fillId="0" borderId="41" xfId="0" applyNumberFormat="1" applyFont="1" applyBorder="1" applyAlignment="1" applyProtection="1">
      <alignment horizontal="center" vertical="center"/>
    </xf>
    <xf numFmtId="10" fontId="25" fillId="0" borderId="0" xfId="0" applyNumberFormat="1" applyFont="1" applyFill="1" applyBorder="1" applyAlignment="1">
      <alignment horizontal="right"/>
    </xf>
    <xf numFmtId="0" fontId="25" fillId="0" borderId="0" xfId="0" applyFont="1" applyFill="1" applyBorder="1"/>
    <xf numFmtId="10" fontId="25" fillId="0" borderId="22" xfId="0" applyNumberFormat="1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50" xfId="0" applyNumberFormat="1" applyBorder="1" applyAlignment="1" applyProtection="1">
      <alignment horizontal="center" vertical="center"/>
    </xf>
    <xf numFmtId="4" fontId="0" fillId="0" borderId="39" xfId="0" applyNumberFormat="1" applyBorder="1" applyAlignment="1" applyProtection="1">
      <alignment horizontal="center" vertical="center"/>
    </xf>
    <xf numFmtId="4" fontId="3" fillId="2" borderId="39" xfId="0" applyNumberFormat="1" applyFont="1" applyFill="1" applyBorder="1" applyAlignment="1">
      <alignment horizontal="right" vertical="center"/>
    </xf>
    <xf numFmtId="0" fontId="0" fillId="0" borderId="28" xfId="0" applyFill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right" vertical="center"/>
    </xf>
    <xf numFmtId="4" fontId="0" fillId="0" borderId="30" xfId="0" applyNumberFormat="1" applyBorder="1" applyAlignment="1" applyProtection="1">
      <alignment horizontal="left" vertical="center"/>
    </xf>
    <xf numFmtId="4" fontId="13" fillId="0" borderId="29" xfId="0" applyNumberFormat="1" applyFont="1" applyBorder="1" applyAlignment="1" applyProtection="1">
      <alignment horizontal="right" vertical="center"/>
    </xf>
    <xf numFmtId="0" fontId="1" fillId="0" borderId="8" xfId="0" applyFont="1" applyBorder="1" applyAlignment="1" applyProtection="1">
      <alignment horizontal="center" vertical="center"/>
    </xf>
    <xf numFmtId="4" fontId="0" fillId="0" borderId="0" xfId="0" applyNumberFormat="1" applyFill="1" applyBorder="1"/>
    <xf numFmtId="2" fontId="0" fillId="0" borderId="0" xfId="0" applyNumberFormat="1" applyBorder="1"/>
    <xf numFmtId="4" fontId="0" fillId="0" borderId="13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10" fontId="3" fillId="0" borderId="0" xfId="0" applyNumberFormat="1" applyFont="1" applyAlignment="1">
      <alignment horizontal="left"/>
    </xf>
    <xf numFmtId="4" fontId="2" fillId="0" borderId="0" xfId="1" applyNumberFormat="1" applyFont="1" applyAlignment="1">
      <alignment horizontal="left" vertical="top"/>
    </xf>
    <xf numFmtId="4" fontId="3" fillId="0" borderId="0" xfId="0" applyNumberFormat="1" applyFont="1" applyAlignment="1">
      <alignment horizontal="center"/>
    </xf>
    <xf numFmtId="0" fontId="0" fillId="0" borderId="22" xfId="0" applyFill="1" applyBorder="1"/>
    <xf numFmtId="4" fontId="0" fillId="0" borderId="22" xfId="0" applyNumberFormat="1" applyFill="1" applyBorder="1"/>
    <xf numFmtId="4" fontId="10" fillId="0" borderId="22" xfId="0" applyNumberFormat="1" applyFont="1" applyFill="1" applyBorder="1"/>
    <xf numFmtId="4" fontId="2" fillId="0" borderId="22" xfId="0" applyNumberFormat="1" applyFont="1" applyFill="1" applyBorder="1"/>
    <xf numFmtId="4" fontId="2" fillId="0" borderId="23" xfId="0" applyNumberFormat="1" applyFont="1" applyFill="1" applyBorder="1"/>
    <xf numFmtId="4" fontId="2" fillId="0" borderId="21" xfId="0" applyNumberFormat="1" applyFont="1" applyFill="1" applyBorder="1"/>
    <xf numFmtId="4" fontId="11" fillId="0" borderId="0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4" fontId="2" fillId="0" borderId="0" xfId="0" applyNumberFormat="1" applyFont="1" applyFill="1" applyBorder="1" applyAlignment="1" applyProtection="1">
      <alignment horizontal="right" vertical="center"/>
    </xf>
    <xf numFmtId="4" fontId="2" fillId="0" borderId="2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4" fontId="10" fillId="0" borderId="20" xfId="0" applyNumberFormat="1" applyFont="1" applyBorder="1"/>
    <xf numFmtId="0" fontId="1" fillId="0" borderId="12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  <protection hidden="1"/>
    </xf>
    <xf numFmtId="0" fontId="19" fillId="0" borderId="0" xfId="0" applyFont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4" fontId="17" fillId="0" borderId="0" xfId="0" applyNumberFormat="1" applyFont="1" applyBorder="1" applyAlignment="1" applyProtection="1">
      <alignment vertical="center"/>
      <protection hidden="1"/>
    </xf>
    <xf numFmtId="0" fontId="18" fillId="0" borderId="0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righ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4" fontId="17" fillId="0" borderId="3" xfId="0" applyNumberFormat="1" applyFont="1" applyBorder="1" applyAlignment="1" applyProtection="1">
      <alignment vertical="center"/>
      <protection hidden="1"/>
    </xf>
    <xf numFmtId="0" fontId="27" fillId="0" borderId="0" xfId="2" applyFont="1" applyAlignment="1" applyProtection="1">
      <alignment horizontal="center" vertical="center"/>
      <protection hidden="1"/>
    </xf>
    <xf numFmtId="4" fontId="17" fillId="0" borderId="5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Border="1" applyAlignment="1" applyProtection="1">
      <alignment horizontal="right" vertical="center"/>
      <protection hidden="1"/>
    </xf>
    <xf numFmtId="4" fontId="18" fillId="0" borderId="0" xfId="0" applyNumberFormat="1" applyFont="1" applyAlignment="1" applyProtection="1">
      <alignment horizontal="center" vertical="center"/>
      <protection hidden="1"/>
    </xf>
    <xf numFmtId="4" fontId="22" fillId="0" borderId="0" xfId="0" applyNumberFormat="1" applyFont="1" applyBorder="1" applyAlignment="1" applyProtection="1">
      <alignment vertical="center"/>
      <protection hidden="1"/>
    </xf>
    <xf numFmtId="4" fontId="22" fillId="0" borderId="0" xfId="0" applyNumberFormat="1" applyFont="1" applyBorder="1" applyAlignment="1" applyProtection="1">
      <alignment horizontal="right" vertical="center"/>
      <protection hidden="1"/>
    </xf>
    <xf numFmtId="0" fontId="17" fillId="0" borderId="0" xfId="0" applyFont="1" applyBorder="1" applyAlignment="1" applyProtection="1">
      <alignment horizontal="left" vertical="top" wrapText="1"/>
      <protection hidden="1"/>
    </xf>
    <xf numFmtId="0" fontId="20" fillId="0" borderId="0" xfId="0" applyFont="1" applyBorder="1" applyAlignment="1" applyProtection="1">
      <alignment horizontal="center" vertical="center"/>
      <protection locked="0" hidden="1"/>
    </xf>
    <xf numFmtId="0" fontId="20" fillId="0" borderId="15" xfId="0" applyFont="1" applyBorder="1" applyAlignment="1" applyProtection="1">
      <alignment horizontal="center" vertical="center"/>
      <protection locked="0" hidden="1"/>
    </xf>
    <xf numFmtId="0" fontId="24" fillId="0" borderId="0" xfId="0" applyFont="1" applyBorder="1" applyAlignment="1" applyProtection="1">
      <alignment horizontal="right" vertical="center"/>
      <protection locked="0" hidden="1"/>
    </xf>
    <xf numFmtId="0" fontId="17" fillId="0" borderId="0" xfId="0" applyFont="1" applyBorder="1" applyAlignment="1" applyProtection="1">
      <alignment horizontal="center" vertical="center"/>
      <protection locked="0" hidden="1"/>
    </xf>
    <xf numFmtId="0" fontId="30" fillId="0" borderId="0" xfId="2" applyFont="1" applyAlignment="1" applyProtection="1">
      <alignment horizontal="left" vertical="center"/>
      <protection hidden="1"/>
    </xf>
    <xf numFmtId="4" fontId="31" fillId="0" borderId="0" xfId="0" applyNumberFormat="1" applyFont="1" applyBorder="1"/>
    <xf numFmtId="4" fontId="10" fillId="0" borderId="0" xfId="1" applyNumberFormat="1" applyFont="1" applyFill="1" applyAlignment="1">
      <alignment horizontal="right" vertical="top"/>
    </xf>
    <xf numFmtId="4" fontId="10" fillId="6" borderId="0" xfId="1" applyNumberFormat="1" applyFont="1" applyFill="1" applyAlignment="1">
      <alignment horizontal="right" vertical="top"/>
    </xf>
    <xf numFmtId="0" fontId="1" fillId="0" borderId="13" xfId="0" applyFont="1" applyBorder="1"/>
    <xf numFmtId="0" fontId="0" fillId="0" borderId="3" xfId="0" applyBorder="1"/>
    <xf numFmtId="0" fontId="0" fillId="0" borderId="3" xfId="0" applyFill="1" applyBorder="1"/>
    <xf numFmtId="0" fontId="0" fillId="0" borderId="5" xfId="0" applyBorder="1"/>
    <xf numFmtId="4" fontId="0" fillId="0" borderId="15" xfId="0" applyNumberFormat="1" applyBorder="1"/>
    <xf numFmtId="4" fontId="10" fillId="4" borderId="0" xfId="1" applyNumberFormat="1" applyFont="1" applyFill="1" applyAlignment="1">
      <alignment horizontal="right" vertical="top"/>
    </xf>
    <xf numFmtId="0" fontId="20" fillId="0" borderId="4" xfId="0" applyFont="1" applyBorder="1" applyAlignment="1" applyProtection="1">
      <alignment horizontal="left" vertical="center"/>
      <protection locked="0" hidden="1"/>
    </xf>
    <xf numFmtId="0" fontId="20" fillId="0" borderId="15" xfId="0" applyFont="1" applyBorder="1" applyAlignment="1" applyProtection="1">
      <alignment horizontal="left" vertical="center"/>
      <protection locked="0" hidden="1"/>
    </xf>
    <xf numFmtId="0" fontId="20" fillId="0" borderId="2" xfId="0" applyFont="1" applyBorder="1" applyAlignment="1" applyProtection="1">
      <alignment horizontal="left" vertical="center"/>
      <protection locked="0" hidden="1"/>
    </xf>
    <xf numFmtId="0" fontId="20" fillId="0" borderId="0" xfId="0" applyFont="1" applyBorder="1" applyAlignment="1" applyProtection="1">
      <alignment horizontal="left" vertical="center"/>
      <protection locked="0" hidden="1"/>
    </xf>
    <xf numFmtId="0" fontId="19" fillId="0" borderId="12" xfId="0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33" fillId="0" borderId="0" xfId="0" applyFont="1" applyBorder="1" applyAlignment="1" applyProtection="1">
      <alignment vertical="center"/>
      <protection hidden="1"/>
    </xf>
    <xf numFmtId="0" fontId="33" fillId="0" borderId="0" xfId="0" applyFont="1" applyBorder="1" applyAlignment="1" applyProtection="1">
      <alignment horizontal="left" vertical="center"/>
      <protection hidden="1"/>
    </xf>
    <xf numFmtId="0" fontId="34" fillId="0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Border="1" applyAlignment="1" applyProtection="1">
      <alignment horizontal="right" vertical="center"/>
      <protection hidden="1"/>
    </xf>
    <xf numFmtId="0" fontId="19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4" fontId="17" fillId="0" borderId="0" xfId="0" applyNumberFormat="1" applyFont="1" applyBorder="1" applyAlignment="1" applyProtection="1">
      <alignment horizontal="center" vertical="center"/>
      <protection hidden="1"/>
    </xf>
    <xf numFmtId="4" fontId="22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4" fontId="3" fillId="0" borderId="0" xfId="0" applyNumberFormat="1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0" xfId="0" applyFont="1" applyBorder="1" applyProtection="1">
      <protection hidden="1"/>
    </xf>
    <xf numFmtId="4" fontId="10" fillId="0" borderId="0" xfId="0" applyNumberFormat="1" applyFont="1" applyBorder="1" applyProtection="1">
      <protection hidden="1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17" xfId="1" applyFont="1" applyBorder="1" applyAlignment="1">
      <alignment horizontal="center" vertical="top"/>
    </xf>
    <xf numFmtId="0" fontId="9" fillId="0" borderId="18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0" xfId="1" applyFont="1" applyBorder="1" applyAlignment="1">
      <alignment horizontal="right" vertical="top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5" xfId="0" applyBorder="1" applyAlignment="1">
      <alignment horizontal="left"/>
    </xf>
    <xf numFmtId="165" fontId="13" fillId="0" borderId="7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4" fillId="5" borderId="4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3" fillId="0" borderId="6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7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left" vertical="center"/>
      <protection locked="0" hidden="1"/>
    </xf>
    <xf numFmtId="0" fontId="20" fillId="0" borderId="15" xfId="0" applyFont="1" applyBorder="1" applyAlignment="1" applyProtection="1">
      <alignment horizontal="left" vertical="center"/>
      <protection locked="0"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0" fillId="0" borderId="2" xfId="0" applyFont="1" applyBorder="1" applyAlignment="1" applyProtection="1">
      <alignment horizontal="left" vertical="center"/>
      <protection locked="0" hidden="1"/>
    </xf>
    <xf numFmtId="0" fontId="20" fillId="0" borderId="0" xfId="0" applyFont="1" applyBorder="1" applyAlignment="1" applyProtection="1">
      <alignment horizontal="left" vertical="center"/>
      <protection locked="0" hidden="1"/>
    </xf>
    <xf numFmtId="0" fontId="19" fillId="0" borderId="12" xfId="0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29" fillId="0" borderId="0" xfId="0" applyFont="1" applyBorder="1" applyAlignment="1" applyProtection="1">
      <alignment horizontal="center" vertical="center"/>
      <protection locked="0" hidden="1"/>
    </xf>
    <xf numFmtId="0" fontId="19" fillId="0" borderId="0" xfId="0" applyFont="1" applyBorder="1" applyAlignment="1" applyProtection="1">
      <alignment horizontal="left" vertical="center"/>
      <protection hidden="1"/>
    </xf>
    <xf numFmtId="0" fontId="28" fillId="0" borderId="0" xfId="0" applyFont="1" applyBorder="1" applyAlignment="1" applyProtection="1">
      <alignment horizontal="center" vertical="center"/>
      <protection hidden="1"/>
    </xf>
  </cellXfs>
  <cellStyles count="3">
    <cellStyle name="Hyperlink" xfId="2" builtinId="8"/>
    <cellStyle name="Normal" xfId="0" builtinId="0"/>
    <cellStyle name="Normal 2" xfId="1" xr:uid="{F5D45FA5-4D2F-7D40-99DA-7D3434813DD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B71B-2D30-B04F-A32D-9565A5726D0C}">
  <sheetPr codeName="Sheet1"/>
  <dimension ref="A1:AB80"/>
  <sheetViews>
    <sheetView zoomScale="125" zoomScaleNormal="125" workbookViewId="0">
      <selection activeCell="Q19" sqref="Q19"/>
    </sheetView>
  </sheetViews>
  <sheetFormatPr baseColWidth="10" defaultColWidth="10.83203125" defaultRowHeight="18" customHeight="1" x14ac:dyDescent="0.2"/>
  <cols>
    <col min="1" max="2" width="9.1640625" style="1" bestFit="1" customWidth="1"/>
    <col min="3" max="3" width="2.5" style="1" customWidth="1"/>
    <col min="4" max="6" width="9.1640625" style="1" customWidth="1"/>
    <col min="7" max="7" width="2.5" style="1" customWidth="1"/>
    <col min="8" max="10" width="9.1640625" style="1" customWidth="1"/>
    <col min="11" max="11" width="2.5" style="1" customWidth="1"/>
    <col min="12" max="14" width="9.1640625" style="1" customWidth="1"/>
    <col min="15" max="15" width="3.1640625" style="1" bestFit="1" customWidth="1"/>
    <col min="16" max="16" width="26.83203125" style="1" customWidth="1"/>
    <col min="17" max="16384" width="10.83203125" style="1"/>
  </cols>
  <sheetData>
    <row r="1" spans="1:28" ht="18" customHeight="1" x14ac:dyDescent="0.2">
      <c r="A1" s="382" t="s">
        <v>6</v>
      </c>
      <c r="B1" s="378" t="s">
        <v>5</v>
      </c>
      <c r="C1" s="3"/>
      <c r="D1" s="379" t="s">
        <v>0</v>
      </c>
      <c r="E1" s="380"/>
      <c r="F1" s="381"/>
      <c r="H1" s="379" t="s">
        <v>1</v>
      </c>
      <c r="I1" s="380"/>
      <c r="J1" s="381"/>
      <c r="L1" s="379" t="s">
        <v>268</v>
      </c>
      <c r="M1" s="380"/>
      <c r="N1" s="381"/>
      <c r="V1" s="14">
        <v>10</v>
      </c>
      <c r="W1" s="14">
        <v>10</v>
      </c>
      <c r="X1" s="14">
        <v>15</v>
      </c>
      <c r="Y1" s="14">
        <v>15</v>
      </c>
      <c r="Z1" s="14">
        <v>15</v>
      </c>
      <c r="AA1" s="14">
        <v>15</v>
      </c>
      <c r="AB1" s="14">
        <v>15</v>
      </c>
    </row>
    <row r="2" spans="1:28" ht="18" customHeight="1" x14ac:dyDescent="0.2">
      <c r="A2" s="378"/>
      <c r="B2" s="378"/>
      <c r="C2" s="3"/>
      <c r="D2" s="11" t="s">
        <v>2</v>
      </c>
      <c r="E2" s="11" t="s">
        <v>3</v>
      </c>
      <c r="F2" s="11" t="s">
        <v>4</v>
      </c>
      <c r="G2" s="3"/>
      <c r="H2" s="18" t="str">
        <f>D2</f>
        <v>Perpetual</v>
      </c>
      <c r="I2" s="18" t="str">
        <f>E2</f>
        <v>Maint.</v>
      </c>
      <c r="J2" s="18" t="str">
        <f>F2</f>
        <v>Annual</v>
      </c>
      <c r="K2" s="3"/>
      <c r="L2" s="18" t="str">
        <f>D2</f>
        <v>Perpetual</v>
      </c>
      <c r="M2" s="18" t="str">
        <f>E2</f>
        <v>Maint.</v>
      </c>
      <c r="N2" s="18" t="str">
        <f>F2</f>
        <v>Annual</v>
      </c>
      <c r="P2" s="20" t="s">
        <v>24</v>
      </c>
      <c r="Q2" s="20" t="s">
        <v>25</v>
      </c>
      <c r="R2" s="20" t="s">
        <v>26</v>
      </c>
      <c r="S2" s="14" t="s">
        <v>29</v>
      </c>
      <c r="T2" s="14" t="s">
        <v>30</v>
      </c>
      <c r="U2" s="14" t="s">
        <v>31</v>
      </c>
      <c r="V2" s="14" t="s">
        <v>32</v>
      </c>
      <c r="W2" s="14" t="s">
        <v>33</v>
      </c>
      <c r="X2" s="14" t="s">
        <v>58</v>
      </c>
      <c r="Y2" s="14" t="s">
        <v>59</v>
      </c>
      <c r="Z2" s="14" t="s">
        <v>60</v>
      </c>
      <c r="AA2" s="14" t="s">
        <v>61</v>
      </c>
      <c r="AB2" s="14" t="s">
        <v>62</v>
      </c>
    </row>
    <row r="3" spans="1:28" ht="18" customHeight="1" x14ac:dyDescent="0.2">
      <c r="A3" s="15">
        <f>B3*3</f>
        <v>12</v>
      </c>
      <c r="B3" s="8">
        <v>4</v>
      </c>
      <c r="C3" s="3"/>
      <c r="D3" s="4">
        <v>0</v>
      </c>
      <c r="E3" s="5">
        <v>0</v>
      </c>
      <c r="F3" s="9">
        <v>0</v>
      </c>
      <c r="G3" s="2"/>
      <c r="H3" s="4">
        <v>0</v>
      </c>
      <c r="I3" s="5">
        <v>0</v>
      </c>
      <c r="J3" s="9">
        <v>219</v>
      </c>
      <c r="K3" s="2"/>
      <c r="L3" s="4">
        <v>0</v>
      </c>
      <c r="M3" s="5">
        <v>0</v>
      </c>
      <c r="N3" s="9">
        <v>266</v>
      </c>
      <c r="O3" s="1">
        <v>1</v>
      </c>
      <c r="P3" s="19" t="str">
        <f>$D$2&amp;"-"&amp;$D$1&amp;"-"&amp;B3</f>
        <v>Perpetual-Standard-4</v>
      </c>
      <c r="Q3" s="70">
        <f>D3</f>
        <v>0</v>
      </c>
      <c r="R3" s="70">
        <f>E3</f>
        <v>0</v>
      </c>
      <c r="S3" s="71">
        <f>Q3</f>
        <v>0</v>
      </c>
      <c r="T3" s="71">
        <f>IF(LEFT(P3,3)="Per",Q3+(1*R3),Q3*2)</f>
        <v>0</v>
      </c>
      <c r="U3" s="71">
        <f>IF(LEFT(P3,3)="Per",Q3+(2*R3),Q3*3)</f>
        <v>0</v>
      </c>
      <c r="V3" s="71">
        <f>IF(LEFT(P3,3)="Per",Q3+((3*R3)-(3*R3)*$V$1/100),Q3*4)</f>
        <v>0</v>
      </c>
      <c r="W3" s="71">
        <f>IF(LEFT(P3,3)="Per",Q3+((4*R3)-(4*R3)*$W$1/100),Q3*5)</f>
        <v>0</v>
      </c>
      <c r="X3" s="71">
        <f>IF(LEFT(P3,3)="Per",Q3+((5*R3)-(5*R3)*$X$1/100),Q3*6)</f>
        <v>0</v>
      </c>
      <c r="Y3" s="71">
        <f>IF(LEFT(P3,3)="Per",Q3+((6*R3)-(6*R3)*$Y$1/100),Q3*7)</f>
        <v>0</v>
      </c>
      <c r="Z3" s="71">
        <f>IF(LEFT(P3,3)="Per",Q3+((7*R3)-(7*R3)*$Z$1/100),Q3*8)</f>
        <v>0</v>
      </c>
      <c r="AA3" s="71">
        <f>IF(LEFT(P3,3)="Per",Q3+((8*R3)-(8*R3)*$AA$1/100),Q3*9)</f>
        <v>0</v>
      </c>
      <c r="AB3" s="71">
        <f>IF(LEFT(P3,3)="Per",Q3+((9*R3)-(9*R3)*$AB$1/100),Q3*10)</f>
        <v>0</v>
      </c>
    </row>
    <row r="4" spans="1:28" ht="18" customHeight="1" x14ac:dyDescent="0.2">
      <c r="A4" s="16">
        <f t="shared" ref="A4:A15" si="0">B4*3</f>
        <v>24</v>
      </c>
      <c r="B4" s="12">
        <v>8</v>
      </c>
      <c r="C4" s="3"/>
      <c r="D4" s="4">
        <v>0</v>
      </c>
      <c r="E4" s="5">
        <v>0</v>
      </c>
      <c r="F4" s="9">
        <v>0</v>
      </c>
      <c r="G4" s="2"/>
      <c r="H4" s="4">
        <v>0</v>
      </c>
      <c r="I4" s="5">
        <v>0</v>
      </c>
      <c r="J4" s="9">
        <v>285</v>
      </c>
      <c r="K4" s="2"/>
      <c r="L4" s="4">
        <v>0</v>
      </c>
      <c r="M4" s="5">
        <v>0</v>
      </c>
      <c r="N4" s="9">
        <v>345</v>
      </c>
      <c r="O4" s="1">
        <v>2</v>
      </c>
      <c r="P4" s="19" t="str">
        <f t="shared" ref="P4:P15" si="1">$D$2&amp;"-"&amp;$D$1&amp;"-"&amp;B4</f>
        <v>Perpetual-Standard-8</v>
      </c>
      <c r="Q4" s="70">
        <f t="shared" ref="Q4:Q15" si="2">D4</f>
        <v>0</v>
      </c>
      <c r="R4" s="70">
        <f t="shared" ref="R4:R15" si="3">E4</f>
        <v>0</v>
      </c>
      <c r="S4" s="71">
        <f t="shared" ref="S4:S67" si="4">Q4</f>
        <v>0</v>
      </c>
      <c r="T4" s="71">
        <f t="shared" ref="T4:T67" si="5">IF(LEFT(P4,3)="Per",Q4+(1*R4),Q4*2)</f>
        <v>0</v>
      </c>
      <c r="U4" s="71">
        <f t="shared" ref="U4:U67" si="6">IF(LEFT(P4,3)="Per",Q4+(2*R4),Q4*3)</f>
        <v>0</v>
      </c>
      <c r="V4" s="71">
        <f t="shared" ref="V4:V67" si="7">IF(LEFT(P4,3)="Per",Q4+((3*R4)-(3*R4)*$V$1/100),Q4*4)</f>
        <v>0</v>
      </c>
      <c r="W4" s="71">
        <f t="shared" ref="W4:W67" si="8">IF(LEFT(P4,3)="Per",Q4+((4*R4)-(4*R4)*$W$1/100),Q4*5)</f>
        <v>0</v>
      </c>
      <c r="X4" s="71">
        <f t="shared" ref="X4:X67" si="9">IF(LEFT(P4,3)="Per",Q4+((5*R4)-(5*R4)*$X$1/100),Q4*6)</f>
        <v>0</v>
      </c>
      <c r="Y4" s="71">
        <f t="shared" ref="Y4:Y67" si="10">IF(LEFT(P4,3)="Per",Q4+((6*R4)-(6*R4)*$Y$1/100),Q4*7)</f>
        <v>0</v>
      </c>
      <c r="Z4" s="71">
        <f t="shared" ref="Z4:Z67" si="11">IF(LEFT(P4,3)="Per",Q4+((7*R4)-(7*R4)*$Z$1/100),Q4*8)</f>
        <v>0</v>
      </c>
      <c r="AA4" s="71">
        <f t="shared" ref="AA4:AA67" si="12">IF(LEFT(P4,3)="Per",Q4+((8*R4)-(8*R4)*$AA$1/100),Q4*9)</f>
        <v>0</v>
      </c>
      <c r="AB4" s="71">
        <f t="shared" ref="AB4:AB67" si="13">IF(LEFT(P4,3)="Per",Q4+((9*R4)-(9*R4)*$AB$1/100),Q4*10)</f>
        <v>0</v>
      </c>
    </row>
    <row r="5" spans="1:28" ht="18" customHeight="1" x14ac:dyDescent="0.2">
      <c r="A5" s="16">
        <f t="shared" si="0"/>
        <v>48</v>
      </c>
      <c r="B5" s="12">
        <v>16</v>
      </c>
      <c r="C5" s="3"/>
      <c r="D5" s="4">
        <v>952</v>
      </c>
      <c r="E5" s="5">
        <f>D5*27.5%</f>
        <v>261.8</v>
      </c>
      <c r="F5" s="144">
        <v>346</v>
      </c>
      <c r="G5" s="2"/>
      <c r="H5" s="4">
        <v>1570</v>
      </c>
      <c r="I5" s="5">
        <f>H5*27.5%</f>
        <v>431.75000000000006</v>
      </c>
      <c r="J5" s="9">
        <v>571</v>
      </c>
      <c r="K5" s="2"/>
      <c r="L5" s="4">
        <v>1903</v>
      </c>
      <c r="M5" s="5">
        <f>L5*27.5%</f>
        <v>523.32500000000005</v>
      </c>
      <c r="N5" s="9">
        <v>692</v>
      </c>
      <c r="O5" s="1">
        <v>3</v>
      </c>
      <c r="P5" s="19" t="str">
        <f t="shared" si="1"/>
        <v>Perpetual-Standard-16</v>
      </c>
      <c r="Q5" s="70">
        <f t="shared" si="2"/>
        <v>952</v>
      </c>
      <c r="R5" s="70">
        <f t="shared" si="3"/>
        <v>261.8</v>
      </c>
      <c r="S5" s="71">
        <f t="shared" si="4"/>
        <v>952</v>
      </c>
      <c r="T5" s="71">
        <f t="shared" si="5"/>
        <v>1213.8</v>
      </c>
      <c r="U5" s="71">
        <f t="shared" si="6"/>
        <v>1475.6</v>
      </c>
      <c r="V5" s="71">
        <f t="shared" si="7"/>
        <v>1658.8600000000001</v>
      </c>
      <c r="W5" s="71">
        <f t="shared" si="8"/>
        <v>1894.48</v>
      </c>
      <c r="X5" s="71">
        <f t="shared" si="9"/>
        <v>2064.65</v>
      </c>
      <c r="Y5" s="71">
        <f t="shared" si="10"/>
        <v>2287.1800000000003</v>
      </c>
      <c r="Z5" s="71">
        <f t="shared" si="11"/>
        <v>2509.71</v>
      </c>
      <c r="AA5" s="71">
        <f t="shared" si="12"/>
        <v>2732.24</v>
      </c>
      <c r="AB5" s="71">
        <f t="shared" si="13"/>
        <v>2954.7700000000004</v>
      </c>
    </row>
    <row r="6" spans="1:28" ht="18" customHeight="1" x14ac:dyDescent="0.2">
      <c r="A6" s="16">
        <f t="shared" si="0"/>
        <v>72</v>
      </c>
      <c r="B6" s="12">
        <v>24</v>
      </c>
      <c r="C6" s="3"/>
      <c r="D6" s="4">
        <v>0</v>
      </c>
      <c r="E6" s="5">
        <v>0</v>
      </c>
      <c r="F6" s="9">
        <v>522</v>
      </c>
      <c r="G6" s="2"/>
      <c r="H6" s="4">
        <v>0</v>
      </c>
      <c r="I6" s="5">
        <v>0</v>
      </c>
      <c r="J6" s="9">
        <v>861</v>
      </c>
      <c r="K6" s="2"/>
      <c r="L6" s="4">
        <v>0</v>
      </c>
      <c r="M6" s="5">
        <v>0</v>
      </c>
      <c r="N6" s="9">
        <v>1044</v>
      </c>
      <c r="O6" s="1">
        <v>4</v>
      </c>
      <c r="P6" s="19" t="str">
        <f t="shared" si="1"/>
        <v>Perpetual-Standard-24</v>
      </c>
      <c r="Q6" s="70">
        <f t="shared" si="2"/>
        <v>0</v>
      </c>
      <c r="R6" s="70">
        <f t="shared" si="3"/>
        <v>0</v>
      </c>
      <c r="S6" s="71">
        <f t="shared" si="4"/>
        <v>0</v>
      </c>
      <c r="T6" s="71">
        <f t="shared" si="5"/>
        <v>0</v>
      </c>
      <c r="U6" s="71">
        <f t="shared" si="6"/>
        <v>0</v>
      </c>
      <c r="V6" s="71">
        <f t="shared" si="7"/>
        <v>0</v>
      </c>
      <c r="W6" s="71">
        <f t="shared" si="8"/>
        <v>0</v>
      </c>
      <c r="X6" s="71">
        <f t="shared" si="9"/>
        <v>0</v>
      </c>
      <c r="Y6" s="71">
        <f t="shared" si="10"/>
        <v>0</v>
      </c>
      <c r="Z6" s="71">
        <f t="shared" si="11"/>
        <v>0</v>
      </c>
      <c r="AA6" s="71">
        <f t="shared" si="12"/>
        <v>0</v>
      </c>
      <c r="AB6" s="71">
        <f t="shared" si="13"/>
        <v>0</v>
      </c>
    </row>
    <row r="7" spans="1:28" ht="18" customHeight="1" x14ac:dyDescent="0.2">
      <c r="A7" s="16">
        <f t="shared" si="0"/>
        <v>96</v>
      </c>
      <c r="B7" s="12">
        <v>32</v>
      </c>
      <c r="C7" s="3"/>
      <c r="D7" s="4">
        <v>2159</v>
      </c>
      <c r="E7" s="5">
        <f>D7*27.5%</f>
        <v>593.72500000000002</v>
      </c>
      <c r="F7" s="9">
        <v>785</v>
      </c>
      <c r="G7" s="2"/>
      <c r="H7" s="4">
        <v>3561</v>
      </c>
      <c r="I7" s="5">
        <f>H7*27.5%</f>
        <v>979.27500000000009</v>
      </c>
      <c r="J7" s="9">
        <v>1295</v>
      </c>
      <c r="K7" s="2"/>
      <c r="L7" s="4">
        <v>4318</v>
      </c>
      <c r="M7" s="5">
        <f>L7*27.5%</f>
        <v>1187.45</v>
      </c>
      <c r="N7" s="9">
        <v>1570</v>
      </c>
      <c r="O7" s="1">
        <v>5</v>
      </c>
      <c r="P7" s="19" t="str">
        <f t="shared" si="1"/>
        <v>Perpetual-Standard-32</v>
      </c>
      <c r="Q7" s="70">
        <f t="shared" si="2"/>
        <v>2159</v>
      </c>
      <c r="R7" s="70">
        <f t="shared" si="3"/>
        <v>593.72500000000002</v>
      </c>
      <c r="S7" s="71">
        <f t="shared" si="4"/>
        <v>2159</v>
      </c>
      <c r="T7" s="71">
        <f t="shared" si="5"/>
        <v>2752.7249999999999</v>
      </c>
      <c r="U7" s="71">
        <f t="shared" si="6"/>
        <v>3346.45</v>
      </c>
      <c r="V7" s="71">
        <f t="shared" si="7"/>
        <v>3762.0574999999999</v>
      </c>
      <c r="W7" s="71">
        <f t="shared" si="8"/>
        <v>4296.41</v>
      </c>
      <c r="X7" s="71">
        <f t="shared" si="9"/>
        <v>4682.3312500000002</v>
      </c>
      <c r="Y7" s="71">
        <f t="shared" si="10"/>
        <v>5186.9975000000004</v>
      </c>
      <c r="Z7" s="71">
        <f t="shared" si="11"/>
        <v>5691.6637499999997</v>
      </c>
      <c r="AA7" s="71">
        <f t="shared" si="12"/>
        <v>6196.33</v>
      </c>
      <c r="AB7" s="71">
        <f t="shared" si="13"/>
        <v>6700.9962500000001</v>
      </c>
    </row>
    <row r="8" spans="1:28" ht="18" customHeight="1" x14ac:dyDescent="0.2">
      <c r="A8" s="16">
        <f t="shared" si="0"/>
        <v>144</v>
      </c>
      <c r="B8" s="12">
        <v>48</v>
      </c>
      <c r="C8" s="3"/>
      <c r="D8" s="4">
        <v>0</v>
      </c>
      <c r="E8" s="5">
        <v>0</v>
      </c>
      <c r="F8" s="9">
        <v>1184</v>
      </c>
      <c r="G8" s="2"/>
      <c r="H8" s="4">
        <v>0</v>
      </c>
      <c r="I8" s="5">
        <v>0</v>
      </c>
      <c r="J8" s="9">
        <v>1954</v>
      </c>
      <c r="K8" s="2"/>
      <c r="L8" s="4">
        <v>0</v>
      </c>
      <c r="M8" s="5">
        <v>0</v>
      </c>
      <c r="N8" s="9">
        <v>2368</v>
      </c>
      <c r="O8" s="1">
        <v>6</v>
      </c>
      <c r="P8" s="19" t="str">
        <f t="shared" si="1"/>
        <v>Perpetual-Standard-48</v>
      </c>
      <c r="Q8" s="70">
        <f t="shared" si="2"/>
        <v>0</v>
      </c>
      <c r="R8" s="70">
        <f t="shared" si="3"/>
        <v>0</v>
      </c>
      <c r="S8" s="71">
        <f t="shared" si="4"/>
        <v>0</v>
      </c>
      <c r="T8" s="71">
        <f t="shared" si="5"/>
        <v>0</v>
      </c>
      <c r="U8" s="71">
        <f t="shared" si="6"/>
        <v>0</v>
      </c>
      <c r="V8" s="71">
        <f t="shared" si="7"/>
        <v>0</v>
      </c>
      <c r="W8" s="71">
        <f t="shared" si="8"/>
        <v>0</v>
      </c>
      <c r="X8" s="71">
        <f t="shared" si="9"/>
        <v>0</v>
      </c>
      <c r="Y8" s="71">
        <f t="shared" si="10"/>
        <v>0</v>
      </c>
      <c r="Z8" s="71">
        <f t="shared" si="11"/>
        <v>0</v>
      </c>
      <c r="AA8" s="71">
        <f t="shared" si="12"/>
        <v>0</v>
      </c>
      <c r="AB8" s="71">
        <f t="shared" si="13"/>
        <v>0</v>
      </c>
    </row>
    <row r="9" spans="1:28" ht="18" customHeight="1" x14ac:dyDescent="0.2">
      <c r="A9" s="16">
        <f t="shared" si="0"/>
        <v>192</v>
      </c>
      <c r="B9" s="12">
        <v>64</v>
      </c>
      <c r="C9" s="3"/>
      <c r="D9" s="4">
        <v>4329</v>
      </c>
      <c r="E9" s="5">
        <f>D9*27.5%</f>
        <v>1190.4750000000001</v>
      </c>
      <c r="F9" s="9">
        <v>1574</v>
      </c>
      <c r="G9" s="2"/>
      <c r="H9" s="4">
        <v>7142</v>
      </c>
      <c r="I9" s="5">
        <f>H9*27.5%</f>
        <v>1964.0500000000002</v>
      </c>
      <c r="J9" s="9">
        <v>2597</v>
      </c>
      <c r="K9" s="2"/>
      <c r="L9" s="4">
        <v>8657</v>
      </c>
      <c r="M9" s="5">
        <f>L9*27.5%</f>
        <v>2380.6750000000002</v>
      </c>
      <c r="N9" s="9">
        <v>3148</v>
      </c>
      <c r="O9" s="1">
        <v>7</v>
      </c>
      <c r="P9" s="19" t="str">
        <f t="shared" si="1"/>
        <v>Perpetual-Standard-64</v>
      </c>
      <c r="Q9" s="70">
        <f t="shared" si="2"/>
        <v>4329</v>
      </c>
      <c r="R9" s="70">
        <f t="shared" si="3"/>
        <v>1190.4750000000001</v>
      </c>
      <c r="S9" s="71">
        <f t="shared" si="4"/>
        <v>4329</v>
      </c>
      <c r="T9" s="71">
        <f t="shared" si="5"/>
        <v>5519.4750000000004</v>
      </c>
      <c r="U9" s="71">
        <f t="shared" si="6"/>
        <v>6709.9500000000007</v>
      </c>
      <c r="V9" s="71">
        <f t="shared" si="7"/>
        <v>7543.2825000000003</v>
      </c>
      <c r="W9" s="71">
        <f t="shared" si="8"/>
        <v>8614.7100000000009</v>
      </c>
      <c r="X9" s="71">
        <f t="shared" si="9"/>
        <v>9388.5187500000011</v>
      </c>
      <c r="Y9" s="71">
        <f t="shared" si="10"/>
        <v>10400.422500000001</v>
      </c>
      <c r="Z9" s="71">
        <f t="shared" si="11"/>
        <v>11412.32625</v>
      </c>
      <c r="AA9" s="71">
        <f t="shared" si="12"/>
        <v>12424.23</v>
      </c>
      <c r="AB9" s="71">
        <f t="shared" si="13"/>
        <v>13436.133750000001</v>
      </c>
    </row>
    <row r="10" spans="1:28" ht="18" customHeight="1" x14ac:dyDescent="0.2">
      <c r="A10" s="16">
        <f t="shared" si="0"/>
        <v>288</v>
      </c>
      <c r="B10" s="12">
        <v>96</v>
      </c>
      <c r="C10" s="3"/>
      <c r="D10" s="4">
        <v>0</v>
      </c>
      <c r="E10" s="5">
        <v>0</v>
      </c>
      <c r="F10" s="9">
        <v>2364</v>
      </c>
      <c r="G10" s="2"/>
      <c r="H10" s="4">
        <v>0</v>
      </c>
      <c r="I10" s="5">
        <v>0</v>
      </c>
      <c r="J10" s="9">
        <v>3901</v>
      </c>
      <c r="K10" s="2"/>
      <c r="L10" s="4">
        <v>0</v>
      </c>
      <c r="M10" s="5">
        <v>0</v>
      </c>
      <c r="N10" s="9">
        <v>4728</v>
      </c>
      <c r="O10" s="1">
        <v>8</v>
      </c>
      <c r="P10" s="19" t="str">
        <f t="shared" si="1"/>
        <v>Perpetual-Standard-96</v>
      </c>
      <c r="Q10" s="70">
        <f t="shared" si="2"/>
        <v>0</v>
      </c>
      <c r="R10" s="70">
        <f t="shared" si="3"/>
        <v>0</v>
      </c>
      <c r="S10" s="71">
        <f t="shared" si="4"/>
        <v>0</v>
      </c>
      <c r="T10" s="71">
        <f t="shared" si="5"/>
        <v>0</v>
      </c>
      <c r="U10" s="71">
        <f t="shared" si="6"/>
        <v>0</v>
      </c>
      <c r="V10" s="71">
        <f t="shared" si="7"/>
        <v>0</v>
      </c>
      <c r="W10" s="71">
        <f t="shared" si="8"/>
        <v>0</v>
      </c>
      <c r="X10" s="71">
        <f t="shared" si="9"/>
        <v>0</v>
      </c>
      <c r="Y10" s="71">
        <f t="shared" si="10"/>
        <v>0</v>
      </c>
      <c r="Z10" s="71">
        <f t="shared" si="11"/>
        <v>0</v>
      </c>
      <c r="AA10" s="71">
        <f t="shared" si="12"/>
        <v>0</v>
      </c>
      <c r="AB10" s="71">
        <f t="shared" si="13"/>
        <v>0</v>
      </c>
    </row>
    <row r="11" spans="1:28" ht="18" customHeight="1" x14ac:dyDescent="0.2">
      <c r="A11" s="16">
        <f t="shared" si="0"/>
        <v>384</v>
      </c>
      <c r="B11" s="12">
        <v>128</v>
      </c>
      <c r="C11" s="3"/>
      <c r="D11" s="4">
        <v>8429</v>
      </c>
      <c r="E11" s="5">
        <f>D11*27.5%</f>
        <v>2317.9750000000004</v>
      </c>
      <c r="F11" s="9">
        <v>3065</v>
      </c>
      <c r="G11" s="2"/>
      <c r="H11" s="4">
        <v>13907</v>
      </c>
      <c r="I11" s="5">
        <f>H11*27.5%</f>
        <v>3824.4250000000002</v>
      </c>
      <c r="J11" s="9">
        <v>5057</v>
      </c>
      <c r="K11" s="2"/>
      <c r="L11" s="4">
        <v>16858</v>
      </c>
      <c r="M11" s="5">
        <f>L11*27.5%</f>
        <v>4635.9500000000007</v>
      </c>
      <c r="N11" s="9">
        <v>6130</v>
      </c>
      <c r="O11" s="1">
        <v>9</v>
      </c>
      <c r="P11" s="19" t="str">
        <f t="shared" si="1"/>
        <v>Perpetual-Standard-128</v>
      </c>
      <c r="Q11" s="70">
        <f t="shared" si="2"/>
        <v>8429</v>
      </c>
      <c r="R11" s="70">
        <f t="shared" si="3"/>
        <v>2317.9750000000004</v>
      </c>
      <c r="S11" s="71">
        <f t="shared" si="4"/>
        <v>8429</v>
      </c>
      <c r="T11" s="71">
        <f t="shared" si="5"/>
        <v>10746.975</v>
      </c>
      <c r="U11" s="71">
        <f t="shared" si="6"/>
        <v>13064.95</v>
      </c>
      <c r="V11" s="71">
        <f t="shared" si="7"/>
        <v>14687.532500000001</v>
      </c>
      <c r="W11" s="71">
        <f t="shared" si="8"/>
        <v>16773.71</v>
      </c>
      <c r="X11" s="71">
        <f t="shared" si="9"/>
        <v>18280.393750000003</v>
      </c>
      <c r="Y11" s="71">
        <f t="shared" si="10"/>
        <v>20250.672500000001</v>
      </c>
      <c r="Z11" s="71">
        <f t="shared" si="11"/>
        <v>22220.951250000002</v>
      </c>
      <c r="AA11" s="71">
        <f t="shared" si="12"/>
        <v>24191.230000000003</v>
      </c>
      <c r="AB11" s="71">
        <f t="shared" si="13"/>
        <v>26161.508750000001</v>
      </c>
    </row>
    <row r="12" spans="1:28" ht="18" customHeight="1" x14ac:dyDescent="0.2">
      <c r="A12" s="16">
        <f t="shared" si="0"/>
        <v>576</v>
      </c>
      <c r="B12" s="12">
        <v>192</v>
      </c>
      <c r="C12" s="3"/>
      <c r="D12" s="4">
        <v>0</v>
      </c>
      <c r="E12" s="5">
        <v>0</v>
      </c>
      <c r="F12" s="9">
        <v>4604</v>
      </c>
      <c r="G12" s="2"/>
      <c r="H12" s="4">
        <v>0</v>
      </c>
      <c r="I12" s="5">
        <v>0</v>
      </c>
      <c r="J12" s="9">
        <v>7597</v>
      </c>
      <c r="K12" s="2"/>
      <c r="L12" s="4">
        <v>0</v>
      </c>
      <c r="M12" s="5">
        <v>0</v>
      </c>
      <c r="N12" s="9">
        <v>9208</v>
      </c>
      <c r="O12" s="1">
        <v>10</v>
      </c>
      <c r="P12" s="19" t="str">
        <f t="shared" si="1"/>
        <v>Perpetual-Standard-192</v>
      </c>
      <c r="Q12" s="70">
        <f t="shared" si="2"/>
        <v>0</v>
      </c>
      <c r="R12" s="70">
        <f t="shared" si="3"/>
        <v>0</v>
      </c>
      <c r="S12" s="71">
        <f t="shared" si="4"/>
        <v>0</v>
      </c>
      <c r="T12" s="71">
        <f t="shared" si="5"/>
        <v>0</v>
      </c>
      <c r="U12" s="71">
        <f t="shared" si="6"/>
        <v>0</v>
      </c>
      <c r="V12" s="71">
        <f t="shared" si="7"/>
        <v>0</v>
      </c>
      <c r="W12" s="71">
        <f t="shared" si="8"/>
        <v>0</v>
      </c>
      <c r="X12" s="71">
        <f t="shared" si="9"/>
        <v>0</v>
      </c>
      <c r="Y12" s="71">
        <f t="shared" si="10"/>
        <v>0</v>
      </c>
      <c r="Z12" s="71">
        <f t="shared" si="11"/>
        <v>0</v>
      </c>
      <c r="AA12" s="71">
        <f t="shared" si="12"/>
        <v>0</v>
      </c>
      <c r="AB12" s="71">
        <f t="shared" si="13"/>
        <v>0</v>
      </c>
    </row>
    <row r="13" spans="1:28" ht="18" customHeight="1" x14ac:dyDescent="0.2">
      <c r="A13" s="16">
        <f t="shared" si="0"/>
        <v>768</v>
      </c>
      <c r="B13" s="12">
        <v>256</v>
      </c>
      <c r="C13" s="3"/>
      <c r="D13" s="4">
        <v>16871</v>
      </c>
      <c r="E13" s="5">
        <f>D13*27.5%</f>
        <v>4639.5250000000005</v>
      </c>
      <c r="F13" s="9">
        <v>6135</v>
      </c>
      <c r="G13" s="2"/>
      <c r="H13" s="4">
        <v>27838</v>
      </c>
      <c r="I13" s="5">
        <f>H13*27.5%</f>
        <v>7655.4500000000007</v>
      </c>
      <c r="J13" s="9">
        <v>10123</v>
      </c>
      <c r="K13" s="2"/>
      <c r="L13" s="4">
        <v>33743</v>
      </c>
      <c r="M13" s="5">
        <f>L13*27.5%</f>
        <v>9279.3250000000007</v>
      </c>
      <c r="N13" s="9">
        <v>12270</v>
      </c>
      <c r="O13" s="1">
        <v>11</v>
      </c>
      <c r="P13" s="19" t="str">
        <f t="shared" si="1"/>
        <v>Perpetual-Standard-256</v>
      </c>
      <c r="Q13" s="70">
        <f t="shared" si="2"/>
        <v>16871</v>
      </c>
      <c r="R13" s="70">
        <f t="shared" si="3"/>
        <v>4639.5250000000005</v>
      </c>
      <c r="S13" s="71">
        <f t="shared" si="4"/>
        <v>16871</v>
      </c>
      <c r="T13" s="71">
        <f t="shared" si="5"/>
        <v>21510.525000000001</v>
      </c>
      <c r="U13" s="71">
        <f t="shared" si="6"/>
        <v>26150.050000000003</v>
      </c>
      <c r="V13" s="71">
        <f t="shared" si="7"/>
        <v>29397.717499999999</v>
      </c>
      <c r="W13" s="71">
        <f t="shared" si="8"/>
        <v>33573.29</v>
      </c>
      <c r="X13" s="71">
        <f t="shared" si="9"/>
        <v>36588.981250000004</v>
      </c>
      <c r="Y13" s="71">
        <f t="shared" si="10"/>
        <v>40532.577499999999</v>
      </c>
      <c r="Z13" s="71">
        <f t="shared" si="11"/>
        <v>44476.173750000002</v>
      </c>
      <c r="AA13" s="71">
        <f t="shared" si="12"/>
        <v>48419.770000000004</v>
      </c>
      <c r="AB13" s="71">
        <f t="shared" si="13"/>
        <v>52363.366250000006</v>
      </c>
    </row>
    <row r="14" spans="1:28" ht="18" customHeight="1" x14ac:dyDescent="0.2">
      <c r="A14" s="16">
        <f t="shared" si="0"/>
        <v>1536</v>
      </c>
      <c r="B14" s="12">
        <v>512</v>
      </c>
      <c r="C14" s="3"/>
      <c r="D14" s="4">
        <v>26518</v>
      </c>
      <c r="E14" s="5">
        <f>D14*27.5%</f>
        <v>7292.4500000000007</v>
      </c>
      <c r="F14" s="9">
        <v>9643</v>
      </c>
      <c r="G14" s="2"/>
      <c r="H14" s="4">
        <v>43755</v>
      </c>
      <c r="I14" s="5">
        <f>H14*27.5%</f>
        <v>12032.625000000002</v>
      </c>
      <c r="J14" s="9">
        <v>15911</v>
      </c>
      <c r="K14" s="2"/>
      <c r="L14" s="4">
        <v>53037</v>
      </c>
      <c r="M14" s="5">
        <f>L14*27.5%</f>
        <v>14585.175000000001</v>
      </c>
      <c r="N14" s="9">
        <v>19286</v>
      </c>
      <c r="O14" s="1">
        <v>12</v>
      </c>
      <c r="P14" s="19" t="str">
        <f t="shared" si="1"/>
        <v>Perpetual-Standard-512</v>
      </c>
      <c r="Q14" s="70">
        <f t="shared" si="2"/>
        <v>26518</v>
      </c>
      <c r="R14" s="70">
        <f t="shared" si="3"/>
        <v>7292.4500000000007</v>
      </c>
      <c r="S14" s="71">
        <f t="shared" si="4"/>
        <v>26518</v>
      </c>
      <c r="T14" s="71">
        <f t="shared" si="5"/>
        <v>33810.449999999997</v>
      </c>
      <c r="U14" s="71">
        <f t="shared" si="6"/>
        <v>41102.9</v>
      </c>
      <c r="V14" s="71">
        <f t="shared" si="7"/>
        <v>46207.615000000005</v>
      </c>
      <c r="W14" s="71">
        <f t="shared" si="8"/>
        <v>52770.820000000007</v>
      </c>
      <c r="X14" s="71">
        <f t="shared" si="9"/>
        <v>57510.912499999999</v>
      </c>
      <c r="Y14" s="71">
        <f t="shared" si="10"/>
        <v>63709.495000000003</v>
      </c>
      <c r="Z14" s="71">
        <f t="shared" si="11"/>
        <v>69908.077500000014</v>
      </c>
      <c r="AA14" s="71">
        <f t="shared" si="12"/>
        <v>76106.66</v>
      </c>
      <c r="AB14" s="71">
        <f t="shared" si="13"/>
        <v>82305.242499999993</v>
      </c>
    </row>
    <row r="15" spans="1:28" ht="18" customHeight="1" x14ac:dyDescent="0.2">
      <c r="A15" s="17">
        <f t="shared" si="0"/>
        <v>3072</v>
      </c>
      <c r="B15" s="13">
        <v>1024</v>
      </c>
      <c r="C15" s="3"/>
      <c r="D15" s="6">
        <v>48224</v>
      </c>
      <c r="E15" s="7">
        <f>D15*27.5%</f>
        <v>13261.6</v>
      </c>
      <c r="F15" s="10">
        <v>17536</v>
      </c>
      <c r="G15" s="2"/>
      <c r="H15" s="6">
        <v>79569</v>
      </c>
      <c r="I15" s="7">
        <f>H15*27.5%</f>
        <v>21881.475000000002</v>
      </c>
      <c r="J15" s="10">
        <v>28934</v>
      </c>
      <c r="K15" s="2"/>
      <c r="L15" s="6">
        <v>96448</v>
      </c>
      <c r="M15" s="7">
        <f>L15*27.5%</f>
        <v>26523.200000000001</v>
      </c>
      <c r="N15" s="10">
        <v>35072</v>
      </c>
      <c r="O15" s="1">
        <v>13</v>
      </c>
      <c r="P15" s="19" t="str">
        <f t="shared" si="1"/>
        <v>Perpetual-Standard-1024</v>
      </c>
      <c r="Q15" s="70">
        <f t="shared" si="2"/>
        <v>48224</v>
      </c>
      <c r="R15" s="70">
        <f t="shared" si="3"/>
        <v>13261.6</v>
      </c>
      <c r="S15" s="71">
        <f t="shared" si="4"/>
        <v>48224</v>
      </c>
      <c r="T15" s="71">
        <f t="shared" si="5"/>
        <v>61485.599999999999</v>
      </c>
      <c r="U15" s="71">
        <f t="shared" si="6"/>
        <v>74747.199999999997</v>
      </c>
      <c r="V15" s="71">
        <f t="shared" si="7"/>
        <v>84030.32</v>
      </c>
      <c r="W15" s="71">
        <f t="shared" si="8"/>
        <v>95965.760000000009</v>
      </c>
      <c r="X15" s="71">
        <f t="shared" si="9"/>
        <v>104585.8</v>
      </c>
      <c r="Y15" s="71">
        <f t="shared" si="10"/>
        <v>115858.16</v>
      </c>
      <c r="Z15" s="71">
        <f t="shared" si="11"/>
        <v>127130.51999999999</v>
      </c>
      <c r="AA15" s="71">
        <f t="shared" si="12"/>
        <v>138402.88</v>
      </c>
      <c r="AB15" s="71">
        <f t="shared" si="13"/>
        <v>149675.24</v>
      </c>
    </row>
    <row r="16" spans="1:28" ht="18" customHeight="1" x14ac:dyDescent="0.2">
      <c r="D16" s="2"/>
      <c r="E16" s="2"/>
      <c r="F16" s="2"/>
      <c r="G16" s="2"/>
      <c r="H16" s="2"/>
      <c r="I16" s="2"/>
      <c r="J16" s="2"/>
      <c r="K16" s="2"/>
      <c r="L16" s="2"/>
      <c r="M16" s="2"/>
      <c r="O16" s="1">
        <v>1</v>
      </c>
      <c r="P16" s="19" t="str">
        <f>$F$2&amp;"-"&amp;$D$1&amp;"-"&amp;B3</f>
        <v>Annual-Standard-4</v>
      </c>
      <c r="Q16" s="70">
        <f>F3</f>
        <v>0</v>
      </c>
      <c r="R16" s="70">
        <v>0</v>
      </c>
      <c r="S16" s="71">
        <f t="shared" si="4"/>
        <v>0</v>
      </c>
      <c r="T16" s="71">
        <f t="shared" si="5"/>
        <v>0</v>
      </c>
      <c r="U16" s="71">
        <f t="shared" si="6"/>
        <v>0</v>
      </c>
      <c r="V16" s="71">
        <f t="shared" si="7"/>
        <v>0</v>
      </c>
      <c r="W16" s="71">
        <f t="shared" si="8"/>
        <v>0</v>
      </c>
      <c r="X16" s="71">
        <f t="shared" si="9"/>
        <v>0</v>
      </c>
      <c r="Y16" s="71">
        <f t="shared" si="10"/>
        <v>0</v>
      </c>
      <c r="Z16" s="71">
        <f t="shared" si="11"/>
        <v>0</v>
      </c>
      <c r="AA16" s="71">
        <f t="shared" si="12"/>
        <v>0</v>
      </c>
      <c r="AB16" s="71">
        <f t="shared" si="13"/>
        <v>0</v>
      </c>
    </row>
    <row r="17" spans="4:28" ht="18" customHeight="1" x14ac:dyDescent="0.2">
      <c r="O17" s="1">
        <v>2</v>
      </c>
      <c r="P17" s="19" t="str">
        <f t="shared" ref="P17:P28" si="14">$F$2&amp;"-"&amp;$D$1&amp;"-"&amp;B4</f>
        <v>Annual-Standard-8</v>
      </c>
      <c r="Q17" s="70">
        <f t="shared" ref="Q17:Q28" si="15">F4</f>
        <v>0</v>
      </c>
      <c r="R17" s="70">
        <v>0</v>
      </c>
      <c r="S17" s="71">
        <f t="shared" si="4"/>
        <v>0</v>
      </c>
      <c r="T17" s="71">
        <f t="shared" si="5"/>
        <v>0</v>
      </c>
      <c r="U17" s="71">
        <f t="shared" si="6"/>
        <v>0</v>
      </c>
      <c r="V17" s="71">
        <f t="shared" si="7"/>
        <v>0</v>
      </c>
      <c r="W17" s="71">
        <f t="shared" si="8"/>
        <v>0</v>
      </c>
      <c r="X17" s="71">
        <f t="shared" si="9"/>
        <v>0</v>
      </c>
      <c r="Y17" s="71">
        <f t="shared" si="10"/>
        <v>0</v>
      </c>
      <c r="Z17" s="71">
        <f t="shared" si="11"/>
        <v>0</v>
      </c>
      <c r="AA17" s="71">
        <f t="shared" si="12"/>
        <v>0</v>
      </c>
      <c r="AB17" s="71">
        <f t="shared" si="13"/>
        <v>0</v>
      </c>
    </row>
    <row r="18" spans="4:28" ht="18" customHeight="1" x14ac:dyDescent="0.2">
      <c r="O18" s="1">
        <v>3</v>
      </c>
      <c r="P18" s="19" t="str">
        <f t="shared" si="14"/>
        <v>Annual-Standard-16</v>
      </c>
      <c r="Q18" s="70">
        <f t="shared" si="15"/>
        <v>346</v>
      </c>
      <c r="R18" s="70">
        <v>0</v>
      </c>
      <c r="S18" s="71">
        <f t="shared" si="4"/>
        <v>346</v>
      </c>
      <c r="T18" s="71">
        <f t="shared" si="5"/>
        <v>692</v>
      </c>
      <c r="U18" s="71">
        <f t="shared" si="6"/>
        <v>1038</v>
      </c>
      <c r="V18" s="71">
        <f t="shared" si="7"/>
        <v>1384</v>
      </c>
      <c r="W18" s="71">
        <f t="shared" si="8"/>
        <v>1730</v>
      </c>
      <c r="X18" s="71">
        <f t="shared" si="9"/>
        <v>2076</v>
      </c>
      <c r="Y18" s="71">
        <f t="shared" si="10"/>
        <v>2422</v>
      </c>
      <c r="Z18" s="71">
        <f t="shared" si="11"/>
        <v>2768</v>
      </c>
      <c r="AA18" s="71">
        <f t="shared" si="12"/>
        <v>3114</v>
      </c>
      <c r="AB18" s="71">
        <f t="shared" si="13"/>
        <v>3460</v>
      </c>
    </row>
    <row r="19" spans="4:28" ht="18" customHeight="1" x14ac:dyDescent="0.2">
      <c r="D19"/>
      <c r="E19"/>
      <c r="F19"/>
      <c r="G19"/>
      <c r="H19"/>
      <c r="O19" s="1">
        <v>4</v>
      </c>
      <c r="P19" s="19" t="str">
        <f t="shared" si="14"/>
        <v>Annual-Standard-24</v>
      </c>
      <c r="Q19" s="70">
        <f t="shared" si="15"/>
        <v>522</v>
      </c>
      <c r="R19" s="70">
        <v>0</v>
      </c>
      <c r="S19" s="71">
        <f t="shared" si="4"/>
        <v>522</v>
      </c>
      <c r="T19" s="71">
        <f t="shared" si="5"/>
        <v>1044</v>
      </c>
      <c r="U19" s="71">
        <f t="shared" si="6"/>
        <v>1566</v>
      </c>
      <c r="V19" s="71">
        <f t="shared" si="7"/>
        <v>2088</v>
      </c>
      <c r="W19" s="71">
        <f t="shared" si="8"/>
        <v>2610</v>
      </c>
      <c r="X19" s="71">
        <f t="shared" si="9"/>
        <v>3132</v>
      </c>
      <c r="Y19" s="71">
        <f t="shared" si="10"/>
        <v>3654</v>
      </c>
      <c r="Z19" s="71">
        <f t="shared" si="11"/>
        <v>4176</v>
      </c>
      <c r="AA19" s="71">
        <f t="shared" si="12"/>
        <v>4698</v>
      </c>
      <c r="AB19" s="71">
        <f t="shared" si="13"/>
        <v>5220</v>
      </c>
    </row>
    <row r="20" spans="4:28" ht="18" customHeight="1" x14ac:dyDescent="0.2">
      <c r="D20"/>
      <c r="E20"/>
      <c r="F20"/>
      <c r="G20"/>
      <c r="H20"/>
      <c r="O20" s="1">
        <v>5</v>
      </c>
      <c r="P20" s="19" t="str">
        <f t="shared" si="14"/>
        <v>Annual-Standard-32</v>
      </c>
      <c r="Q20" s="70">
        <f t="shared" si="15"/>
        <v>785</v>
      </c>
      <c r="R20" s="70">
        <v>0</v>
      </c>
      <c r="S20" s="71">
        <f t="shared" si="4"/>
        <v>785</v>
      </c>
      <c r="T20" s="71">
        <f t="shared" si="5"/>
        <v>1570</v>
      </c>
      <c r="U20" s="71">
        <f t="shared" si="6"/>
        <v>2355</v>
      </c>
      <c r="V20" s="71">
        <f t="shared" si="7"/>
        <v>3140</v>
      </c>
      <c r="W20" s="71">
        <f t="shared" si="8"/>
        <v>3925</v>
      </c>
      <c r="X20" s="71">
        <f t="shared" si="9"/>
        <v>4710</v>
      </c>
      <c r="Y20" s="71">
        <f t="shared" si="10"/>
        <v>5495</v>
      </c>
      <c r="Z20" s="71">
        <f t="shared" si="11"/>
        <v>6280</v>
      </c>
      <c r="AA20" s="71">
        <f t="shared" si="12"/>
        <v>7065</v>
      </c>
      <c r="AB20" s="71">
        <f t="shared" si="13"/>
        <v>7850</v>
      </c>
    </row>
    <row r="21" spans="4:28" ht="18" customHeight="1" x14ac:dyDescent="0.2">
      <c r="D21"/>
      <c r="E21"/>
      <c r="F21"/>
      <c r="G21"/>
      <c r="H21"/>
      <c r="O21" s="1">
        <v>6</v>
      </c>
      <c r="P21" s="19" t="str">
        <f t="shared" si="14"/>
        <v>Annual-Standard-48</v>
      </c>
      <c r="Q21" s="70">
        <f t="shared" si="15"/>
        <v>1184</v>
      </c>
      <c r="R21" s="70">
        <v>0</v>
      </c>
      <c r="S21" s="71">
        <f t="shared" si="4"/>
        <v>1184</v>
      </c>
      <c r="T21" s="71">
        <f t="shared" si="5"/>
        <v>2368</v>
      </c>
      <c r="U21" s="71">
        <f t="shared" si="6"/>
        <v>3552</v>
      </c>
      <c r="V21" s="71">
        <f t="shared" si="7"/>
        <v>4736</v>
      </c>
      <c r="W21" s="71">
        <f t="shared" si="8"/>
        <v>5920</v>
      </c>
      <c r="X21" s="71">
        <f t="shared" si="9"/>
        <v>7104</v>
      </c>
      <c r="Y21" s="71">
        <f t="shared" si="10"/>
        <v>8288</v>
      </c>
      <c r="Z21" s="71">
        <f t="shared" si="11"/>
        <v>9472</v>
      </c>
      <c r="AA21" s="71">
        <f t="shared" si="12"/>
        <v>10656</v>
      </c>
      <c r="AB21" s="71">
        <f t="shared" si="13"/>
        <v>11840</v>
      </c>
    </row>
    <row r="22" spans="4:28" ht="18" customHeight="1" x14ac:dyDescent="0.2">
      <c r="D22"/>
      <c r="E22"/>
      <c r="F22"/>
      <c r="G22"/>
      <c r="H22"/>
      <c r="O22" s="1">
        <v>7</v>
      </c>
      <c r="P22" s="19" t="str">
        <f t="shared" si="14"/>
        <v>Annual-Standard-64</v>
      </c>
      <c r="Q22" s="70">
        <f t="shared" si="15"/>
        <v>1574</v>
      </c>
      <c r="R22" s="70">
        <v>0</v>
      </c>
      <c r="S22" s="71">
        <f t="shared" si="4"/>
        <v>1574</v>
      </c>
      <c r="T22" s="71">
        <f t="shared" si="5"/>
        <v>3148</v>
      </c>
      <c r="U22" s="71">
        <f t="shared" si="6"/>
        <v>4722</v>
      </c>
      <c r="V22" s="71">
        <f t="shared" si="7"/>
        <v>6296</v>
      </c>
      <c r="W22" s="71">
        <f t="shared" si="8"/>
        <v>7870</v>
      </c>
      <c r="X22" s="71">
        <f t="shared" si="9"/>
        <v>9444</v>
      </c>
      <c r="Y22" s="71">
        <f t="shared" si="10"/>
        <v>11018</v>
      </c>
      <c r="Z22" s="71">
        <f t="shared" si="11"/>
        <v>12592</v>
      </c>
      <c r="AA22" s="71">
        <f t="shared" si="12"/>
        <v>14166</v>
      </c>
      <c r="AB22" s="71">
        <f t="shared" si="13"/>
        <v>15740</v>
      </c>
    </row>
    <row r="23" spans="4:28" ht="18" customHeight="1" x14ac:dyDescent="0.2">
      <c r="D23"/>
      <c r="E23"/>
      <c r="F23"/>
      <c r="G23"/>
      <c r="H23"/>
      <c r="O23" s="1">
        <v>8</v>
      </c>
      <c r="P23" s="19" t="str">
        <f t="shared" si="14"/>
        <v>Annual-Standard-96</v>
      </c>
      <c r="Q23" s="70">
        <f t="shared" si="15"/>
        <v>2364</v>
      </c>
      <c r="R23" s="70">
        <v>0</v>
      </c>
      <c r="S23" s="71">
        <f t="shared" si="4"/>
        <v>2364</v>
      </c>
      <c r="T23" s="71">
        <f t="shared" si="5"/>
        <v>4728</v>
      </c>
      <c r="U23" s="71">
        <f t="shared" si="6"/>
        <v>7092</v>
      </c>
      <c r="V23" s="71">
        <f t="shared" si="7"/>
        <v>9456</v>
      </c>
      <c r="W23" s="71">
        <f t="shared" si="8"/>
        <v>11820</v>
      </c>
      <c r="X23" s="71">
        <f t="shared" si="9"/>
        <v>14184</v>
      </c>
      <c r="Y23" s="71">
        <f t="shared" si="10"/>
        <v>16548</v>
      </c>
      <c r="Z23" s="71">
        <f t="shared" si="11"/>
        <v>18912</v>
      </c>
      <c r="AA23" s="71">
        <f t="shared" si="12"/>
        <v>21276</v>
      </c>
      <c r="AB23" s="71">
        <f t="shared" si="13"/>
        <v>23640</v>
      </c>
    </row>
    <row r="24" spans="4:28" ht="18" customHeight="1" x14ac:dyDescent="0.2">
      <c r="D24"/>
      <c r="E24"/>
      <c r="F24"/>
      <c r="G24"/>
      <c r="H24"/>
      <c r="O24" s="1">
        <v>9</v>
      </c>
      <c r="P24" s="19" t="str">
        <f t="shared" si="14"/>
        <v>Annual-Standard-128</v>
      </c>
      <c r="Q24" s="70">
        <f t="shared" si="15"/>
        <v>3065</v>
      </c>
      <c r="R24" s="70">
        <v>0</v>
      </c>
      <c r="S24" s="71">
        <f t="shared" si="4"/>
        <v>3065</v>
      </c>
      <c r="T24" s="71">
        <f t="shared" si="5"/>
        <v>6130</v>
      </c>
      <c r="U24" s="71">
        <f t="shared" si="6"/>
        <v>9195</v>
      </c>
      <c r="V24" s="71">
        <f t="shared" si="7"/>
        <v>12260</v>
      </c>
      <c r="W24" s="71">
        <f t="shared" si="8"/>
        <v>15325</v>
      </c>
      <c r="X24" s="71">
        <f t="shared" si="9"/>
        <v>18390</v>
      </c>
      <c r="Y24" s="71">
        <f t="shared" si="10"/>
        <v>21455</v>
      </c>
      <c r="Z24" s="71">
        <f t="shared" si="11"/>
        <v>24520</v>
      </c>
      <c r="AA24" s="71">
        <f t="shared" si="12"/>
        <v>27585</v>
      </c>
      <c r="AB24" s="71">
        <f t="shared" si="13"/>
        <v>30650</v>
      </c>
    </row>
    <row r="25" spans="4:28" ht="18" customHeight="1" x14ac:dyDescent="0.2">
      <c r="D25"/>
      <c r="E25"/>
      <c r="F25"/>
      <c r="G25"/>
      <c r="H25"/>
      <c r="O25" s="1">
        <v>10</v>
      </c>
      <c r="P25" s="19" t="str">
        <f t="shared" si="14"/>
        <v>Annual-Standard-192</v>
      </c>
      <c r="Q25" s="70">
        <f t="shared" si="15"/>
        <v>4604</v>
      </c>
      <c r="R25" s="70">
        <v>0</v>
      </c>
      <c r="S25" s="71">
        <f t="shared" si="4"/>
        <v>4604</v>
      </c>
      <c r="T25" s="71">
        <f t="shared" si="5"/>
        <v>9208</v>
      </c>
      <c r="U25" s="71">
        <f t="shared" si="6"/>
        <v>13812</v>
      </c>
      <c r="V25" s="71">
        <f t="shared" si="7"/>
        <v>18416</v>
      </c>
      <c r="W25" s="71">
        <f t="shared" si="8"/>
        <v>23020</v>
      </c>
      <c r="X25" s="71">
        <f t="shared" si="9"/>
        <v>27624</v>
      </c>
      <c r="Y25" s="71">
        <f t="shared" si="10"/>
        <v>32228</v>
      </c>
      <c r="Z25" s="71">
        <f t="shared" si="11"/>
        <v>36832</v>
      </c>
      <c r="AA25" s="71">
        <f t="shared" si="12"/>
        <v>41436</v>
      </c>
      <c r="AB25" s="71">
        <f t="shared" si="13"/>
        <v>46040</v>
      </c>
    </row>
    <row r="26" spans="4:28" ht="18" customHeight="1" x14ac:dyDescent="0.2">
      <c r="D26"/>
      <c r="E26"/>
      <c r="F26"/>
      <c r="G26"/>
      <c r="H26"/>
      <c r="O26" s="1">
        <v>11</v>
      </c>
      <c r="P26" s="19" t="str">
        <f t="shared" si="14"/>
        <v>Annual-Standard-256</v>
      </c>
      <c r="Q26" s="70">
        <f t="shared" si="15"/>
        <v>6135</v>
      </c>
      <c r="R26" s="70">
        <v>0</v>
      </c>
      <c r="S26" s="71">
        <f t="shared" si="4"/>
        <v>6135</v>
      </c>
      <c r="T26" s="71">
        <f t="shared" si="5"/>
        <v>12270</v>
      </c>
      <c r="U26" s="71">
        <f t="shared" si="6"/>
        <v>18405</v>
      </c>
      <c r="V26" s="71">
        <f t="shared" si="7"/>
        <v>24540</v>
      </c>
      <c r="W26" s="71">
        <f t="shared" si="8"/>
        <v>30675</v>
      </c>
      <c r="X26" s="71">
        <f t="shared" si="9"/>
        <v>36810</v>
      </c>
      <c r="Y26" s="71">
        <f t="shared" si="10"/>
        <v>42945</v>
      </c>
      <c r="Z26" s="71">
        <f t="shared" si="11"/>
        <v>49080</v>
      </c>
      <c r="AA26" s="71">
        <f t="shared" si="12"/>
        <v>55215</v>
      </c>
      <c r="AB26" s="71">
        <f t="shared" si="13"/>
        <v>61350</v>
      </c>
    </row>
    <row r="27" spans="4:28" ht="18" customHeight="1" x14ac:dyDescent="0.2">
      <c r="D27"/>
      <c r="E27"/>
      <c r="F27"/>
      <c r="G27"/>
      <c r="H27"/>
      <c r="O27" s="1">
        <v>12</v>
      </c>
      <c r="P27" s="19" t="str">
        <f t="shared" si="14"/>
        <v>Annual-Standard-512</v>
      </c>
      <c r="Q27" s="70">
        <f t="shared" si="15"/>
        <v>9643</v>
      </c>
      <c r="R27" s="70">
        <v>0</v>
      </c>
      <c r="S27" s="71">
        <f t="shared" si="4"/>
        <v>9643</v>
      </c>
      <c r="T27" s="71">
        <f t="shared" si="5"/>
        <v>19286</v>
      </c>
      <c r="U27" s="71">
        <f t="shared" si="6"/>
        <v>28929</v>
      </c>
      <c r="V27" s="71">
        <f t="shared" si="7"/>
        <v>38572</v>
      </c>
      <c r="W27" s="71">
        <f t="shared" si="8"/>
        <v>48215</v>
      </c>
      <c r="X27" s="71">
        <f t="shared" si="9"/>
        <v>57858</v>
      </c>
      <c r="Y27" s="71">
        <f t="shared" si="10"/>
        <v>67501</v>
      </c>
      <c r="Z27" s="71">
        <f t="shared" si="11"/>
        <v>77144</v>
      </c>
      <c r="AA27" s="71">
        <f t="shared" si="12"/>
        <v>86787</v>
      </c>
      <c r="AB27" s="71">
        <f t="shared" si="13"/>
        <v>96430</v>
      </c>
    </row>
    <row r="28" spans="4:28" ht="18" customHeight="1" x14ac:dyDescent="0.2">
      <c r="D28"/>
      <c r="E28"/>
      <c r="F28"/>
      <c r="G28"/>
      <c r="H28"/>
      <c r="O28" s="1">
        <v>13</v>
      </c>
      <c r="P28" s="19" t="str">
        <f t="shared" si="14"/>
        <v>Annual-Standard-1024</v>
      </c>
      <c r="Q28" s="70">
        <f t="shared" si="15"/>
        <v>17536</v>
      </c>
      <c r="R28" s="70">
        <v>0</v>
      </c>
      <c r="S28" s="71">
        <f t="shared" si="4"/>
        <v>17536</v>
      </c>
      <c r="T28" s="71">
        <f t="shared" si="5"/>
        <v>35072</v>
      </c>
      <c r="U28" s="71">
        <f t="shared" si="6"/>
        <v>52608</v>
      </c>
      <c r="V28" s="71">
        <f t="shared" si="7"/>
        <v>70144</v>
      </c>
      <c r="W28" s="71">
        <f t="shared" si="8"/>
        <v>87680</v>
      </c>
      <c r="X28" s="71">
        <f t="shared" si="9"/>
        <v>105216</v>
      </c>
      <c r="Y28" s="71">
        <f t="shared" si="10"/>
        <v>122752</v>
      </c>
      <c r="Z28" s="71">
        <f t="shared" si="11"/>
        <v>140288</v>
      </c>
      <c r="AA28" s="71">
        <f t="shared" si="12"/>
        <v>157824</v>
      </c>
      <c r="AB28" s="71">
        <f t="shared" si="13"/>
        <v>175360</v>
      </c>
    </row>
    <row r="29" spans="4:28" ht="18" customHeight="1" x14ac:dyDescent="0.2">
      <c r="O29" s="1">
        <v>1</v>
      </c>
      <c r="P29" s="19" t="str">
        <f>$D$2&amp;"-"&amp;$H$1&amp;"-"&amp;B3</f>
        <v>Perpetual-PRO-4</v>
      </c>
      <c r="Q29" s="70">
        <f>H3</f>
        <v>0</v>
      </c>
      <c r="R29" s="70">
        <f>I3</f>
        <v>0</v>
      </c>
      <c r="S29" s="71">
        <f t="shared" si="4"/>
        <v>0</v>
      </c>
      <c r="T29" s="71">
        <f t="shared" si="5"/>
        <v>0</v>
      </c>
      <c r="U29" s="71">
        <f t="shared" si="6"/>
        <v>0</v>
      </c>
      <c r="V29" s="71">
        <f t="shared" si="7"/>
        <v>0</v>
      </c>
      <c r="W29" s="71">
        <f t="shared" si="8"/>
        <v>0</v>
      </c>
      <c r="X29" s="71">
        <f t="shared" si="9"/>
        <v>0</v>
      </c>
      <c r="Y29" s="71">
        <f t="shared" si="10"/>
        <v>0</v>
      </c>
      <c r="Z29" s="71">
        <f t="shared" si="11"/>
        <v>0</v>
      </c>
      <c r="AA29" s="71">
        <f t="shared" si="12"/>
        <v>0</v>
      </c>
      <c r="AB29" s="71">
        <f t="shared" si="13"/>
        <v>0</v>
      </c>
    </row>
    <row r="30" spans="4:28" ht="18" customHeight="1" x14ac:dyDescent="0.2">
      <c r="O30" s="1">
        <v>2</v>
      </c>
      <c r="P30" s="19" t="str">
        <f t="shared" ref="P30:P41" si="16">$D$2&amp;"-"&amp;$H$1&amp;"-"&amp;B4</f>
        <v>Perpetual-PRO-8</v>
      </c>
      <c r="Q30" s="70">
        <f t="shared" ref="Q30:R30" si="17">H4</f>
        <v>0</v>
      </c>
      <c r="R30" s="70">
        <f t="shared" si="17"/>
        <v>0</v>
      </c>
      <c r="S30" s="71">
        <f t="shared" si="4"/>
        <v>0</v>
      </c>
      <c r="T30" s="71">
        <f t="shared" si="5"/>
        <v>0</v>
      </c>
      <c r="U30" s="71">
        <f t="shared" si="6"/>
        <v>0</v>
      </c>
      <c r="V30" s="71">
        <f t="shared" si="7"/>
        <v>0</v>
      </c>
      <c r="W30" s="71">
        <f t="shared" si="8"/>
        <v>0</v>
      </c>
      <c r="X30" s="71">
        <f t="shared" si="9"/>
        <v>0</v>
      </c>
      <c r="Y30" s="71">
        <f t="shared" si="10"/>
        <v>0</v>
      </c>
      <c r="Z30" s="71">
        <f t="shared" si="11"/>
        <v>0</v>
      </c>
      <c r="AA30" s="71">
        <f t="shared" si="12"/>
        <v>0</v>
      </c>
      <c r="AB30" s="71">
        <f t="shared" si="13"/>
        <v>0</v>
      </c>
    </row>
    <row r="31" spans="4:28" ht="18" customHeight="1" x14ac:dyDescent="0.2">
      <c r="O31" s="1">
        <v>3</v>
      </c>
      <c r="P31" s="19" t="str">
        <f t="shared" si="16"/>
        <v>Perpetual-PRO-16</v>
      </c>
      <c r="Q31" s="70">
        <f t="shared" ref="Q31:R31" si="18">H5</f>
        <v>1570</v>
      </c>
      <c r="R31" s="70">
        <f t="shared" si="18"/>
        <v>431.75000000000006</v>
      </c>
      <c r="S31" s="71">
        <f t="shared" si="4"/>
        <v>1570</v>
      </c>
      <c r="T31" s="71">
        <f t="shared" si="5"/>
        <v>2001.75</v>
      </c>
      <c r="U31" s="71">
        <f t="shared" si="6"/>
        <v>2433.5</v>
      </c>
      <c r="V31" s="71">
        <f t="shared" si="7"/>
        <v>2735.7250000000004</v>
      </c>
      <c r="W31" s="71">
        <f t="shared" si="8"/>
        <v>3124.3</v>
      </c>
      <c r="X31" s="71">
        <f t="shared" si="9"/>
        <v>3404.9375000000005</v>
      </c>
      <c r="Y31" s="71">
        <f t="shared" si="10"/>
        <v>3771.9250000000002</v>
      </c>
      <c r="Z31" s="71">
        <f t="shared" si="11"/>
        <v>4138.9125000000004</v>
      </c>
      <c r="AA31" s="71">
        <f t="shared" si="12"/>
        <v>4505.9000000000005</v>
      </c>
      <c r="AB31" s="71">
        <f t="shared" si="13"/>
        <v>4872.8875000000007</v>
      </c>
    </row>
    <row r="32" spans="4:28" ht="18" customHeight="1" x14ac:dyDescent="0.2">
      <c r="O32" s="1">
        <v>4</v>
      </c>
      <c r="P32" s="19" t="str">
        <f t="shared" si="16"/>
        <v>Perpetual-PRO-24</v>
      </c>
      <c r="Q32" s="70">
        <f t="shared" ref="Q32:R32" si="19">H6</f>
        <v>0</v>
      </c>
      <c r="R32" s="70">
        <f t="shared" si="19"/>
        <v>0</v>
      </c>
      <c r="S32" s="71">
        <f t="shared" si="4"/>
        <v>0</v>
      </c>
      <c r="T32" s="71">
        <f t="shared" si="5"/>
        <v>0</v>
      </c>
      <c r="U32" s="71">
        <f t="shared" si="6"/>
        <v>0</v>
      </c>
      <c r="V32" s="71">
        <f t="shared" si="7"/>
        <v>0</v>
      </c>
      <c r="W32" s="71">
        <f t="shared" si="8"/>
        <v>0</v>
      </c>
      <c r="X32" s="71">
        <f t="shared" si="9"/>
        <v>0</v>
      </c>
      <c r="Y32" s="71">
        <f t="shared" si="10"/>
        <v>0</v>
      </c>
      <c r="Z32" s="71">
        <f t="shared" si="11"/>
        <v>0</v>
      </c>
      <c r="AA32" s="71">
        <f t="shared" si="12"/>
        <v>0</v>
      </c>
      <c r="AB32" s="71">
        <f t="shared" si="13"/>
        <v>0</v>
      </c>
    </row>
    <row r="33" spans="15:28" ht="18" customHeight="1" x14ac:dyDescent="0.2">
      <c r="O33" s="1">
        <v>5</v>
      </c>
      <c r="P33" s="19" t="str">
        <f t="shared" si="16"/>
        <v>Perpetual-PRO-32</v>
      </c>
      <c r="Q33" s="70">
        <f t="shared" ref="Q33:R33" si="20">H7</f>
        <v>3561</v>
      </c>
      <c r="R33" s="70">
        <f t="shared" si="20"/>
        <v>979.27500000000009</v>
      </c>
      <c r="S33" s="71">
        <f t="shared" si="4"/>
        <v>3561</v>
      </c>
      <c r="T33" s="71">
        <f t="shared" si="5"/>
        <v>4540.2749999999996</v>
      </c>
      <c r="U33" s="71">
        <f t="shared" si="6"/>
        <v>5519.55</v>
      </c>
      <c r="V33" s="71">
        <f t="shared" si="7"/>
        <v>6205.0425000000005</v>
      </c>
      <c r="W33" s="71">
        <f t="shared" si="8"/>
        <v>7086.39</v>
      </c>
      <c r="X33" s="71">
        <f t="shared" si="9"/>
        <v>7722.9187499999998</v>
      </c>
      <c r="Y33" s="71">
        <f t="shared" si="10"/>
        <v>8555.3025000000016</v>
      </c>
      <c r="Z33" s="71">
        <f t="shared" si="11"/>
        <v>9387.6862500000007</v>
      </c>
      <c r="AA33" s="71">
        <f t="shared" si="12"/>
        <v>10220.07</v>
      </c>
      <c r="AB33" s="71">
        <f t="shared" si="13"/>
        <v>11052.453750000001</v>
      </c>
    </row>
    <row r="34" spans="15:28" ht="18" customHeight="1" x14ac:dyDescent="0.2">
      <c r="O34" s="1">
        <v>6</v>
      </c>
      <c r="P34" s="19" t="str">
        <f t="shared" si="16"/>
        <v>Perpetual-PRO-48</v>
      </c>
      <c r="Q34" s="70">
        <f t="shared" ref="Q34:R34" si="21">H8</f>
        <v>0</v>
      </c>
      <c r="R34" s="70">
        <f t="shared" si="21"/>
        <v>0</v>
      </c>
      <c r="S34" s="71">
        <f t="shared" si="4"/>
        <v>0</v>
      </c>
      <c r="T34" s="71">
        <f t="shared" si="5"/>
        <v>0</v>
      </c>
      <c r="U34" s="71">
        <f t="shared" si="6"/>
        <v>0</v>
      </c>
      <c r="V34" s="71">
        <f t="shared" si="7"/>
        <v>0</v>
      </c>
      <c r="W34" s="71">
        <f t="shared" si="8"/>
        <v>0</v>
      </c>
      <c r="X34" s="71">
        <f t="shared" si="9"/>
        <v>0</v>
      </c>
      <c r="Y34" s="71">
        <f t="shared" si="10"/>
        <v>0</v>
      </c>
      <c r="Z34" s="71">
        <f t="shared" si="11"/>
        <v>0</v>
      </c>
      <c r="AA34" s="71">
        <f t="shared" si="12"/>
        <v>0</v>
      </c>
      <c r="AB34" s="71">
        <f t="shared" si="13"/>
        <v>0</v>
      </c>
    </row>
    <row r="35" spans="15:28" ht="18" customHeight="1" x14ac:dyDescent="0.2">
      <c r="O35" s="1">
        <v>7</v>
      </c>
      <c r="P35" s="19" t="str">
        <f t="shared" si="16"/>
        <v>Perpetual-PRO-64</v>
      </c>
      <c r="Q35" s="70">
        <f t="shared" ref="Q35:R35" si="22">H9</f>
        <v>7142</v>
      </c>
      <c r="R35" s="70">
        <f t="shared" si="22"/>
        <v>1964.0500000000002</v>
      </c>
      <c r="S35" s="71">
        <f t="shared" si="4"/>
        <v>7142</v>
      </c>
      <c r="T35" s="71">
        <f t="shared" si="5"/>
        <v>9106.0499999999993</v>
      </c>
      <c r="U35" s="71">
        <f t="shared" si="6"/>
        <v>11070.1</v>
      </c>
      <c r="V35" s="71">
        <f t="shared" si="7"/>
        <v>12444.935000000001</v>
      </c>
      <c r="W35" s="71">
        <f t="shared" si="8"/>
        <v>14212.580000000002</v>
      </c>
      <c r="X35" s="71">
        <f t="shared" si="9"/>
        <v>15489.2125</v>
      </c>
      <c r="Y35" s="71">
        <f t="shared" si="10"/>
        <v>17158.654999999999</v>
      </c>
      <c r="Z35" s="71">
        <f t="shared" si="11"/>
        <v>18828.097500000003</v>
      </c>
      <c r="AA35" s="71">
        <f t="shared" si="12"/>
        <v>20497.54</v>
      </c>
      <c r="AB35" s="71">
        <f t="shared" si="13"/>
        <v>22166.982499999998</v>
      </c>
    </row>
    <row r="36" spans="15:28" ht="18" customHeight="1" x14ac:dyDescent="0.2">
      <c r="O36" s="1">
        <v>8</v>
      </c>
      <c r="P36" s="19" t="str">
        <f t="shared" si="16"/>
        <v>Perpetual-PRO-96</v>
      </c>
      <c r="Q36" s="70">
        <f t="shared" ref="Q36:R36" si="23">H10</f>
        <v>0</v>
      </c>
      <c r="R36" s="70">
        <f t="shared" si="23"/>
        <v>0</v>
      </c>
      <c r="S36" s="71">
        <f t="shared" si="4"/>
        <v>0</v>
      </c>
      <c r="T36" s="71">
        <f t="shared" si="5"/>
        <v>0</v>
      </c>
      <c r="U36" s="71">
        <f t="shared" si="6"/>
        <v>0</v>
      </c>
      <c r="V36" s="71">
        <f t="shared" si="7"/>
        <v>0</v>
      </c>
      <c r="W36" s="71">
        <f t="shared" si="8"/>
        <v>0</v>
      </c>
      <c r="X36" s="71">
        <f t="shared" si="9"/>
        <v>0</v>
      </c>
      <c r="Y36" s="71">
        <f t="shared" si="10"/>
        <v>0</v>
      </c>
      <c r="Z36" s="71">
        <f t="shared" si="11"/>
        <v>0</v>
      </c>
      <c r="AA36" s="71">
        <f t="shared" si="12"/>
        <v>0</v>
      </c>
      <c r="AB36" s="71">
        <f t="shared" si="13"/>
        <v>0</v>
      </c>
    </row>
    <row r="37" spans="15:28" ht="18" customHeight="1" x14ac:dyDescent="0.2">
      <c r="O37" s="1">
        <v>9</v>
      </c>
      <c r="P37" s="19" t="str">
        <f t="shared" si="16"/>
        <v>Perpetual-PRO-128</v>
      </c>
      <c r="Q37" s="70">
        <f t="shared" ref="Q37:R37" si="24">H11</f>
        <v>13907</v>
      </c>
      <c r="R37" s="70">
        <f t="shared" si="24"/>
        <v>3824.4250000000002</v>
      </c>
      <c r="S37" s="71">
        <f t="shared" si="4"/>
        <v>13907</v>
      </c>
      <c r="T37" s="71">
        <f t="shared" si="5"/>
        <v>17731.424999999999</v>
      </c>
      <c r="U37" s="71">
        <f t="shared" si="6"/>
        <v>21555.85</v>
      </c>
      <c r="V37" s="71">
        <f t="shared" si="7"/>
        <v>24232.947500000002</v>
      </c>
      <c r="W37" s="71">
        <f t="shared" si="8"/>
        <v>27674.93</v>
      </c>
      <c r="X37" s="71">
        <f t="shared" si="9"/>
        <v>30160.806250000001</v>
      </c>
      <c r="Y37" s="71">
        <f t="shared" si="10"/>
        <v>33411.567500000005</v>
      </c>
      <c r="Z37" s="71">
        <f t="shared" si="11"/>
        <v>36662.328750000001</v>
      </c>
      <c r="AA37" s="71">
        <f t="shared" si="12"/>
        <v>39913.089999999997</v>
      </c>
      <c r="AB37" s="71">
        <f t="shared" si="13"/>
        <v>43163.851250000007</v>
      </c>
    </row>
    <row r="38" spans="15:28" ht="18" customHeight="1" x14ac:dyDescent="0.2">
      <c r="O38" s="1">
        <v>10</v>
      </c>
      <c r="P38" s="19" t="str">
        <f t="shared" si="16"/>
        <v>Perpetual-PRO-192</v>
      </c>
      <c r="Q38" s="70">
        <f t="shared" ref="Q38:R38" si="25">H12</f>
        <v>0</v>
      </c>
      <c r="R38" s="70">
        <f t="shared" si="25"/>
        <v>0</v>
      </c>
      <c r="S38" s="71">
        <f t="shared" si="4"/>
        <v>0</v>
      </c>
      <c r="T38" s="71">
        <f t="shared" si="5"/>
        <v>0</v>
      </c>
      <c r="U38" s="71">
        <f t="shared" si="6"/>
        <v>0</v>
      </c>
      <c r="V38" s="71">
        <f t="shared" si="7"/>
        <v>0</v>
      </c>
      <c r="W38" s="71">
        <f t="shared" si="8"/>
        <v>0</v>
      </c>
      <c r="X38" s="71">
        <f t="shared" si="9"/>
        <v>0</v>
      </c>
      <c r="Y38" s="71">
        <f t="shared" si="10"/>
        <v>0</v>
      </c>
      <c r="Z38" s="71">
        <f t="shared" si="11"/>
        <v>0</v>
      </c>
      <c r="AA38" s="71">
        <f t="shared" si="12"/>
        <v>0</v>
      </c>
      <c r="AB38" s="71">
        <f t="shared" si="13"/>
        <v>0</v>
      </c>
    </row>
    <row r="39" spans="15:28" ht="18" customHeight="1" x14ac:dyDescent="0.2">
      <c r="O39" s="1">
        <v>11</v>
      </c>
      <c r="P39" s="19" t="str">
        <f t="shared" si="16"/>
        <v>Perpetual-PRO-256</v>
      </c>
      <c r="Q39" s="70">
        <f t="shared" ref="Q39:R39" si="26">H13</f>
        <v>27838</v>
      </c>
      <c r="R39" s="70">
        <f t="shared" si="26"/>
        <v>7655.4500000000007</v>
      </c>
      <c r="S39" s="71">
        <f t="shared" si="4"/>
        <v>27838</v>
      </c>
      <c r="T39" s="71">
        <f t="shared" si="5"/>
        <v>35493.449999999997</v>
      </c>
      <c r="U39" s="71">
        <f t="shared" si="6"/>
        <v>43148.9</v>
      </c>
      <c r="V39" s="71">
        <f t="shared" si="7"/>
        <v>48507.715000000004</v>
      </c>
      <c r="W39" s="71">
        <f t="shared" si="8"/>
        <v>55397.62</v>
      </c>
      <c r="X39" s="71">
        <f t="shared" si="9"/>
        <v>60373.662499999999</v>
      </c>
      <c r="Y39" s="71">
        <f t="shared" si="10"/>
        <v>66880.795000000013</v>
      </c>
      <c r="Z39" s="71">
        <f t="shared" si="11"/>
        <v>73387.927500000005</v>
      </c>
      <c r="AA39" s="71">
        <f t="shared" si="12"/>
        <v>79895.06</v>
      </c>
      <c r="AB39" s="71">
        <f t="shared" si="13"/>
        <v>86402.192500000005</v>
      </c>
    </row>
    <row r="40" spans="15:28" ht="18" customHeight="1" x14ac:dyDescent="0.2">
      <c r="O40" s="1">
        <v>12</v>
      </c>
      <c r="P40" s="19" t="str">
        <f t="shared" si="16"/>
        <v>Perpetual-PRO-512</v>
      </c>
      <c r="Q40" s="70">
        <f t="shared" ref="Q40:R40" si="27">H14</f>
        <v>43755</v>
      </c>
      <c r="R40" s="70">
        <f t="shared" si="27"/>
        <v>12032.625000000002</v>
      </c>
      <c r="S40" s="71">
        <f t="shared" si="4"/>
        <v>43755</v>
      </c>
      <c r="T40" s="71">
        <f t="shared" si="5"/>
        <v>55787.625</v>
      </c>
      <c r="U40" s="71">
        <f t="shared" si="6"/>
        <v>67820.25</v>
      </c>
      <c r="V40" s="71">
        <f t="shared" si="7"/>
        <v>76243.087500000009</v>
      </c>
      <c r="W40" s="71">
        <f t="shared" si="8"/>
        <v>87072.450000000012</v>
      </c>
      <c r="X40" s="71">
        <f t="shared" si="9"/>
        <v>94893.65625</v>
      </c>
      <c r="Y40" s="71">
        <f t="shared" si="10"/>
        <v>105121.38750000001</v>
      </c>
      <c r="Z40" s="71">
        <f t="shared" si="11"/>
        <v>115349.11875000001</v>
      </c>
      <c r="AA40" s="71">
        <f t="shared" si="12"/>
        <v>125576.85</v>
      </c>
      <c r="AB40" s="71">
        <f t="shared" si="13"/>
        <v>135804.58125000002</v>
      </c>
    </row>
    <row r="41" spans="15:28" ht="18" customHeight="1" x14ac:dyDescent="0.2">
      <c r="O41" s="1">
        <v>13</v>
      </c>
      <c r="P41" s="19" t="str">
        <f t="shared" si="16"/>
        <v>Perpetual-PRO-1024</v>
      </c>
      <c r="Q41" s="70">
        <f t="shared" ref="Q41:R41" si="28">H15</f>
        <v>79569</v>
      </c>
      <c r="R41" s="70">
        <f t="shared" si="28"/>
        <v>21881.475000000002</v>
      </c>
      <c r="S41" s="71">
        <f t="shared" si="4"/>
        <v>79569</v>
      </c>
      <c r="T41" s="71">
        <f t="shared" si="5"/>
        <v>101450.47500000001</v>
      </c>
      <c r="U41" s="71">
        <f t="shared" si="6"/>
        <v>123331.95000000001</v>
      </c>
      <c r="V41" s="71">
        <f t="shared" si="7"/>
        <v>138648.98250000001</v>
      </c>
      <c r="W41" s="71">
        <f t="shared" si="8"/>
        <v>158342.31</v>
      </c>
      <c r="X41" s="71">
        <f t="shared" si="9"/>
        <v>172565.26875000002</v>
      </c>
      <c r="Y41" s="71">
        <f t="shared" si="10"/>
        <v>191164.52250000002</v>
      </c>
      <c r="Z41" s="71">
        <f t="shared" si="11"/>
        <v>209763.77625</v>
      </c>
      <c r="AA41" s="71">
        <f t="shared" si="12"/>
        <v>228363.03000000003</v>
      </c>
      <c r="AB41" s="71">
        <f t="shared" si="13"/>
        <v>246962.28375</v>
      </c>
    </row>
    <row r="42" spans="15:28" ht="18" customHeight="1" x14ac:dyDescent="0.2">
      <c r="O42" s="1">
        <v>1</v>
      </c>
      <c r="P42" s="19" t="str">
        <f>$F$2&amp;"-"&amp;$H$1&amp;"-"&amp;B3</f>
        <v>Annual-PRO-4</v>
      </c>
      <c r="Q42" s="70">
        <f>J3</f>
        <v>219</v>
      </c>
      <c r="R42" s="70">
        <v>0</v>
      </c>
      <c r="S42" s="71">
        <f t="shared" si="4"/>
        <v>219</v>
      </c>
      <c r="T42" s="71">
        <f t="shared" si="5"/>
        <v>438</v>
      </c>
      <c r="U42" s="71">
        <f t="shared" si="6"/>
        <v>657</v>
      </c>
      <c r="V42" s="71">
        <f t="shared" si="7"/>
        <v>876</v>
      </c>
      <c r="W42" s="71">
        <f t="shared" si="8"/>
        <v>1095</v>
      </c>
      <c r="X42" s="71">
        <f t="shared" si="9"/>
        <v>1314</v>
      </c>
      <c r="Y42" s="71">
        <f t="shared" si="10"/>
        <v>1533</v>
      </c>
      <c r="Z42" s="71">
        <f t="shared" si="11"/>
        <v>1752</v>
      </c>
      <c r="AA42" s="71">
        <f t="shared" si="12"/>
        <v>1971</v>
      </c>
      <c r="AB42" s="71">
        <f t="shared" si="13"/>
        <v>2190</v>
      </c>
    </row>
    <row r="43" spans="15:28" ht="18" customHeight="1" x14ac:dyDescent="0.2">
      <c r="O43" s="1">
        <v>2</v>
      </c>
      <c r="P43" s="19" t="str">
        <f t="shared" ref="P43:P54" si="29">$F$2&amp;"-"&amp;$H$1&amp;"-"&amp;B4</f>
        <v>Annual-PRO-8</v>
      </c>
      <c r="Q43" s="70">
        <f t="shared" ref="Q43:Q54" si="30">J4</f>
        <v>285</v>
      </c>
      <c r="R43" s="70">
        <v>0</v>
      </c>
      <c r="S43" s="71">
        <f t="shared" si="4"/>
        <v>285</v>
      </c>
      <c r="T43" s="71">
        <f t="shared" si="5"/>
        <v>570</v>
      </c>
      <c r="U43" s="71">
        <f t="shared" si="6"/>
        <v>855</v>
      </c>
      <c r="V43" s="71">
        <f t="shared" si="7"/>
        <v>1140</v>
      </c>
      <c r="W43" s="71">
        <f t="shared" si="8"/>
        <v>1425</v>
      </c>
      <c r="X43" s="71">
        <f t="shared" si="9"/>
        <v>1710</v>
      </c>
      <c r="Y43" s="71">
        <f t="shared" si="10"/>
        <v>1995</v>
      </c>
      <c r="Z43" s="71">
        <f t="shared" si="11"/>
        <v>2280</v>
      </c>
      <c r="AA43" s="71">
        <f t="shared" si="12"/>
        <v>2565</v>
      </c>
      <c r="AB43" s="71">
        <f t="shared" si="13"/>
        <v>2850</v>
      </c>
    </row>
    <row r="44" spans="15:28" ht="18" customHeight="1" x14ac:dyDescent="0.2">
      <c r="O44" s="1">
        <v>3</v>
      </c>
      <c r="P44" s="19" t="str">
        <f t="shared" si="29"/>
        <v>Annual-PRO-16</v>
      </c>
      <c r="Q44" s="70">
        <f t="shared" si="30"/>
        <v>571</v>
      </c>
      <c r="R44" s="70">
        <v>0</v>
      </c>
      <c r="S44" s="71">
        <f t="shared" si="4"/>
        <v>571</v>
      </c>
      <c r="T44" s="71">
        <f t="shared" si="5"/>
        <v>1142</v>
      </c>
      <c r="U44" s="71">
        <f t="shared" si="6"/>
        <v>1713</v>
      </c>
      <c r="V44" s="71">
        <f t="shared" si="7"/>
        <v>2284</v>
      </c>
      <c r="W44" s="71">
        <f t="shared" si="8"/>
        <v>2855</v>
      </c>
      <c r="X44" s="71">
        <f t="shared" si="9"/>
        <v>3426</v>
      </c>
      <c r="Y44" s="71">
        <f t="shared" si="10"/>
        <v>3997</v>
      </c>
      <c r="Z44" s="71">
        <f t="shared" si="11"/>
        <v>4568</v>
      </c>
      <c r="AA44" s="71">
        <f t="shared" si="12"/>
        <v>5139</v>
      </c>
      <c r="AB44" s="71">
        <f t="shared" si="13"/>
        <v>5710</v>
      </c>
    </row>
    <row r="45" spans="15:28" ht="18" customHeight="1" x14ac:dyDescent="0.2">
      <c r="O45" s="1">
        <v>4</v>
      </c>
      <c r="P45" s="19" t="str">
        <f t="shared" si="29"/>
        <v>Annual-PRO-24</v>
      </c>
      <c r="Q45" s="70">
        <f t="shared" si="30"/>
        <v>861</v>
      </c>
      <c r="R45" s="70">
        <v>0</v>
      </c>
      <c r="S45" s="71">
        <f t="shared" si="4"/>
        <v>861</v>
      </c>
      <c r="T45" s="71">
        <f t="shared" si="5"/>
        <v>1722</v>
      </c>
      <c r="U45" s="71">
        <f t="shared" si="6"/>
        <v>2583</v>
      </c>
      <c r="V45" s="71">
        <f t="shared" si="7"/>
        <v>3444</v>
      </c>
      <c r="W45" s="71">
        <f t="shared" si="8"/>
        <v>4305</v>
      </c>
      <c r="X45" s="71">
        <f t="shared" si="9"/>
        <v>5166</v>
      </c>
      <c r="Y45" s="71">
        <f t="shared" si="10"/>
        <v>6027</v>
      </c>
      <c r="Z45" s="71">
        <f t="shared" si="11"/>
        <v>6888</v>
      </c>
      <c r="AA45" s="71">
        <f t="shared" si="12"/>
        <v>7749</v>
      </c>
      <c r="AB45" s="71">
        <f t="shared" si="13"/>
        <v>8610</v>
      </c>
    </row>
    <row r="46" spans="15:28" ht="18" customHeight="1" x14ac:dyDescent="0.2">
      <c r="O46" s="1">
        <v>5</v>
      </c>
      <c r="P46" s="19" t="str">
        <f t="shared" si="29"/>
        <v>Annual-PRO-32</v>
      </c>
      <c r="Q46" s="70">
        <f t="shared" si="30"/>
        <v>1295</v>
      </c>
      <c r="R46" s="70">
        <v>0</v>
      </c>
      <c r="S46" s="71">
        <f t="shared" si="4"/>
        <v>1295</v>
      </c>
      <c r="T46" s="71">
        <f t="shared" si="5"/>
        <v>2590</v>
      </c>
      <c r="U46" s="71">
        <f t="shared" si="6"/>
        <v>3885</v>
      </c>
      <c r="V46" s="71">
        <f t="shared" si="7"/>
        <v>5180</v>
      </c>
      <c r="W46" s="71">
        <f t="shared" si="8"/>
        <v>6475</v>
      </c>
      <c r="X46" s="71">
        <f t="shared" si="9"/>
        <v>7770</v>
      </c>
      <c r="Y46" s="71">
        <f t="shared" si="10"/>
        <v>9065</v>
      </c>
      <c r="Z46" s="71">
        <f t="shared" si="11"/>
        <v>10360</v>
      </c>
      <c r="AA46" s="71">
        <f t="shared" si="12"/>
        <v>11655</v>
      </c>
      <c r="AB46" s="71">
        <f t="shared" si="13"/>
        <v>12950</v>
      </c>
    </row>
    <row r="47" spans="15:28" ht="18" customHeight="1" x14ac:dyDescent="0.2">
      <c r="O47" s="1">
        <v>6</v>
      </c>
      <c r="P47" s="19" t="str">
        <f t="shared" si="29"/>
        <v>Annual-PRO-48</v>
      </c>
      <c r="Q47" s="70">
        <f t="shared" si="30"/>
        <v>1954</v>
      </c>
      <c r="R47" s="70">
        <v>0</v>
      </c>
      <c r="S47" s="71">
        <f t="shared" si="4"/>
        <v>1954</v>
      </c>
      <c r="T47" s="71">
        <f t="shared" si="5"/>
        <v>3908</v>
      </c>
      <c r="U47" s="71">
        <f t="shared" si="6"/>
        <v>5862</v>
      </c>
      <c r="V47" s="71">
        <f t="shared" si="7"/>
        <v>7816</v>
      </c>
      <c r="W47" s="71">
        <f t="shared" si="8"/>
        <v>9770</v>
      </c>
      <c r="X47" s="71">
        <f t="shared" si="9"/>
        <v>11724</v>
      </c>
      <c r="Y47" s="71">
        <f t="shared" si="10"/>
        <v>13678</v>
      </c>
      <c r="Z47" s="71">
        <f t="shared" si="11"/>
        <v>15632</v>
      </c>
      <c r="AA47" s="71">
        <f t="shared" si="12"/>
        <v>17586</v>
      </c>
      <c r="AB47" s="71">
        <f t="shared" si="13"/>
        <v>19540</v>
      </c>
    </row>
    <row r="48" spans="15:28" ht="18" customHeight="1" x14ac:dyDescent="0.2">
      <c r="O48" s="1">
        <v>7</v>
      </c>
      <c r="P48" s="19" t="str">
        <f t="shared" si="29"/>
        <v>Annual-PRO-64</v>
      </c>
      <c r="Q48" s="70">
        <f t="shared" si="30"/>
        <v>2597</v>
      </c>
      <c r="R48" s="70">
        <v>0</v>
      </c>
      <c r="S48" s="71">
        <f t="shared" si="4"/>
        <v>2597</v>
      </c>
      <c r="T48" s="71">
        <f t="shared" si="5"/>
        <v>5194</v>
      </c>
      <c r="U48" s="71">
        <f t="shared" si="6"/>
        <v>7791</v>
      </c>
      <c r="V48" s="71">
        <f t="shared" si="7"/>
        <v>10388</v>
      </c>
      <c r="W48" s="71">
        <f t="shared" si="8"/>
        <v>12985</v>
      </c>
      <c r="X48" s="71">
        <f t="shared" si="9"/>
        <v>15582</v>
      </c>
      <c r="Y48" s="71">
        <f t="shared" si="10"/>
        <v>18179</v>
      </c>
      <c r="Z48" s="71">
        <f t="shared" si="11"/>
        <v>20776</v>
      </c>
      <c r="AA48" s="71">
        <f t="shared" si="12"/>
        <v>23373</v>
      </c>
      <c r="AB48" s="71">
        <f t="shared" si="13"/>
        <v>25970</v>
      </c>
    </row>
    <row r="49" spans="15:28" ht="18" customHeight="1" x14ac:dyDescent="0.2">
      <c r="O49" s="1">
        <v>8</v>
      </c>
      <c r="P49" s="19" t="str">
        <f t="shared" si="29"/>
        <v>Annual-PRO-96</v>
      </c>
      <c r="Q49" s="70">
        <f t="shared" si="30"/>
        <v>3901</v>
      </c>
      <c r="R49" s="70">
        <v>0</v>
      </c>
      <c r="S49" s="71">
        <f t="shared" si="4"/>
        <v>3901</v>
      </c>
      <c r="T49" s="71">
        <f t="shared" si="5"/>
        <v>7802</v>
      </c>
      <c r="U49" s="71">
        <f t="shared" si="6"/>
        <v>11703</v>
      </c>
      <c r="V49" s="71">
        <f t="shared" si="7"/>
        <v>15604</v>
      </c>
      <c r="W49" s="71">
        <f t="shared" si="8"/>
        <v>19505</v>
      </c>
      <c r="X49" s="71">
        <f t="shared" si="9"/>
        <v>23406</v>
      </c>
      <c r="Y49" s="71">
        <f t="shared" si="10"/>
        <v>27307</v>
      </c>
      <c r="Z49" s="71">
        <f t="shared" si="11"/>
        <v>31208</v>
      </c>
      <c r="AA49" s="71">
        <f t="shared" si="12"/>
        <v>35109</v>
      </c>
      <c r="AB49" s="71">
        <f t="shared" si="13"/>
        <v>39010</v>
      </c>
    </row>
    <row r="50" spans="15:28" ht="18" customHeight="1" x14ac:dyDescent="0.2">
      <c r="O50" s="1">
        <v>9</v>
      </c>
      <c r="P50" s="19" t="str">
        <f t="shared" si="29"/>
        <v>Annual-PRO-128</v>
      </c>
      <c r="Q50" s="70">
        <f t="shared" si="30"/>
        <v>5057</v>
      </c>
      <c r="R50" s="70">
        <v>0</v>
      </c>
      <c r="S50" s="71">
        <f t="shared" si="4"/>
        <v>5057</v>
      </c>
      <c r="T50" s="71">
        <f t="shared" si="5"/>
        <v>10114</v>
      </c>
      <c r="U50" s="71">
        <f t="shared" si="6"/>
        <v>15171</v>
      </c>
      <c r="V50" s="71">
        <f t="shared" si="7"/>
        <v>20228</v>
      </c>
      <c r="W50" s="71">
        <f t="shared" si="8"/>
        <v>25285</v>
      </c>
      <c r="X50" s="71">
        <f t="shared" si="9"/>
        <v>30342</v>
      </c>
      <c r="Y50" s="71">
        <f t="shared" si="10"/>
        <v>35399</v>
      </c>
      <c r="Z50" s="71">
        <f t="shared" si="11"/>
        <v>40456</v>
      </c>
      <c r="AA50" s="71">
        <f t="shared" si="12"/>
        <v>45513</v>
      </c>
      <c r="AB50" s="71">
        <f t="shared" si="13"/>
        <v>50570</v>
      </c>
    </row>
    <row r="51" spans="15:28" ht="18" customHeight="1" x14ac:dyDescent="0.2">
      <c r="O51" s="1">
        <v>10</v>
      </c>
      <c r="P51" s="19" t="str">
        <f t="shared" si="29"/>
        <v>Annual-PRO-192</v>
      </c>
      <c r="Q51" s="70">
        <f t="shared" si="30"/>
        <v>7597</v>
      </c>
      <c r="R51" s="70">
        <v>0</v>
      </c>
      <c r="S51" s="71">
        <f t="shared" si="4"/>
        <v>7597</v>
      </c>
      <c r="T51" s="71">
        <f t="shared" si="5"/>
        <v>15194</v>
      </c>
      <c r="U51" s="71">
        <f t="shared" si="6"/>
        <v>22791</v>
      </c>
      <c r="V51" s="71">
        <f t="shared" si="7"/>
        <v>30388</v>
      </c>
      <c r="W51" s="71">
        <f t="shared" si="8"/>
        <v>37985</v>
      </c>
      <c r="X51" s="71">
        <f t="shared" si="9"/>
        <v>45582</v>
      </c>
      <c r="Y51" s="71">
        <f t="shared" si="10"/>
        <v>53179</v>
      </c>
      <c r="Z51" s="71">
        <f t="shared" si="11"/>
        <v>60776</v>
      </c>
      <c r="AA51" s="71">
        <f t="shared" si="12"/>
        <v>68373</v>
      </c>
      <c r="AB51" s="71">
        <f t="shared" si="13"/>
        <v>75970</v>
      </c>
    </row>
    <row r="52" spans="15:28" ht="18" customHeight="1" x14ac:dyDescent="0.2">
      <c r="O52" s="1">
        <v>11</v>
      </c>
      <c r="P52" s="19" t="str">
        <f t="shared" si="29"/>
        <v>Annual-PRO-256</v>
      </c>
      <c r="Q52" s="70">
        <f t="shared" si="30"/>
        <v>10123</v>
      </c>
      <c r="R52" s="70">
        <v>0</v>
      </c>
      <c r="S52" s="71">
        <f t="shared" si="4"/>
        <v>10123</v>
      </c>
      <c r="T52" s="71">
        <f t="shared" si="5"/>
        <v>20246</v>
      </c>
      <c r="U52" s="71">
        <f t="shared" si="6"/>
        <v>30369</v>
      </c>
      <c r="V52" s="71">
        <f t="shared" si="7"/>
        <v>40492</v>
      </c>
      <c r="W52" s="71">
        <f t="shared" si="8"/>
        <v>50615</v>
      </c>
      <c r="X52" s="71">
        <f t="shared" si="9"/>
        <v>60738</v>
      </c>
      <c r="Y52" s="71">
        <f t="shared" si="10"/>
        <v>70861</v>
      </c>
      <c r="Z52" s="71">
        <f t="shared" si="11"/>
        <v>80984</v>
      </c>
      <c r="AA52" s="71">
        <f t="shared" si="12"/>
        <v>91107</v>
      </c>
      <c r="AB52" s="71">
        <f t="shared" si="13"/>
        <v>101230</v>
      </c>
    </row>
    <row r="53" spans="15:28" ht="18" customHeight="1" x14ac:dyDescent="0.2">
      <c r="O53" s="1">
        <v>12</v>
      </c>
      <c r="P53" s="19" t="str">
        <f t="shared" si="29"/>
        <v>Annual-PRO-512</v>
      </c>
      <c r="Q53" s="70">
        <f t="shared" si="30"/>
        <v>15911</v>
      </c>
      <c r="R53" s="70">
        <v>0</v>
      </c>
      <c r="S53" s="71">
        <f t="shared" si="4"/>
        <v>15911</v>
      </c>
      <c r="T53" s="71">
        <f t="shared" si="5"/>
        <v>31822</v>
      </c>
      <c r="U53" s="71">
        <f t="shared" si="6"/>
        <v>47733</v>
      </c>
      <c r="V53" s="71">
        <f t="shared" si="7"/>
        <v>63644</v>
      </c>
      <c r="W53" s="71">
        <f t="shared" si="8"/>
        <v>79555</v>
      </c>
      <c r="X53" s="71">
        <f t="shared" si="9"/>
        <v>95466</v>
      </c>
      <c r="Y53" s="71">
        <f t="shared" si="10"/>
        <v>111377</v>
      </c>
      <c r="Z53" s="71">
        <f t="shared" si="11"/>
        <v>127288</v>
      </c>
      <c r="AA53" s="71">
        <f t="shared" si="12"/>
        <v>143199</v>
      </c>
      <c r="AB53" s="71">
        <f t="shared" si="13"/>
        <v>159110</v>
      </c>
    </row>
    <row r="54" spans="15:28" ht="18" customHeight="1" x14ac:dyDescent="0.2">
      <c r="O54" s="1">
        <v>13</v>
      </c>
      <c r="P54" s="19" t="str">
        <f t="shared" si="29"/>
        <v>Annual-PRO-1024</v>
      </c>
      <c r="Q54" s="70">
        <f t="shared" si="30"/>
        <v>28934</v>
      </c>
      <c r="R54" s="70">
        <v>0</v>
      </c>
      <c r="S54" s="71">
        <f t="shared" si="4"/>
        <v>28934</v>
      </c>
      <c r="T54" s="71">
        <f t="shared" si="5"/>
        <v>57868</v>
      </c>
      <c r="U54" s="71">
        <f t="shared" si="6"/>
        <v>86802</v>
      </c>
      <c r="V54" s="71">
        <f t="shared" si="7"/>
        <v>115736</v>
      </c>
      <c r="W54" s="71">
        <f t="shared" si="8"/>
        <v>144670</v>
      </c>
      <c r="X54" s="71">
        <f t="shared" si="9"/>
        <v>173604</v>
      </c>
      <c r="Y54" s="71">
        <f t="shared" si="10"/>
        <v>202538</v>
      </c>
      <c r="Z54" s="71">
        <f t="shared" si="11"/>
        <v>231472</v>
      </c>
      <c r="AA54" s="71">
        <f t="shared" si="12"/>
        <v>260406</v>
      </c>
      <c r="AB54" s="71">
        <f t="shared" si="13"/>
        <v>289340</v>
      </c>
    </row>
    <row r="55" spans="15:28" ht="18" customHeight="1" x14ac:dyDescent="0.2">
      <c r="O55" s="1">
        <v>1</v>
      </c>
      <c r="P55" s="19" t="str">
        <f>$D$2&amp;"-"&amp;$L$1&amp;"-"&amp;B3</f>
        <v>Perpetual-Entreprise-4</v>
      </c>
      <c r="Q55" s="70">
        <f>L3</f>
        <v>0</v>
      </c>
      <c r="R55" s="70">
        <f>M3</f>
        <v>0</v>
      </c>
      <c r="S55" s="71">
        <f t="shared" si="4"/>
        <v>0</v>
      </c>
      <c r="T55" s="71">
        <f t="shared" si="5"/>
        <v>0</v>
      </c>
      <c r="U55" s="71">
        <f t="shared" si="6"/>
        <v>0</v>
      </c>
      <c r="V55" s="71">
        <f t="shared" si="7"/>
        <v>0</v>
      </c>
      <c r="W55" s="71">
        <f t="shared" si="8"/>
        <v>0</v>
      </c>
      <c r="X55" s="71">
        <f t="shared" si="9"/>
        <v>0</v>
      </c>
      <c r="Y55" s="71">
        <f t="shared" si="10"/>
        <v>0</v>
      </c>
      <c r="Z55" s="71">
        <f t="shared" si="11"/>
        <v>0</v>
      </c>
      <c r="AA55" s="71">
        <f t="shared" si="12"/>
        <v>0</v>
      </c>
      <c r="AB55" s="71">
        <f t="shared" si="13"/>
        <v>0</v>
      </c>
    </row>
    <row r="56" spans="15:28" ht="18" customHeight="1" x14ac:dyDescent="0.2">
      <c r="O56" s="1">
        <v>2</v>
      </c>
      <c r="P56" s="19" t="str">
        <f t="shared" ref="P56:P67" si="31">$D$2&amp;"-"&amp;$L$1&amp;"-"&amp;B4</f>
        <v>Perpetual-Entreprise-8</v>
      </c>
      <c r="Q56" s="70">
        <f t="shared" ref="Q56:R56" si="32">L4</f>
        <v>0</v>
      </c>
      <c r="R56" s="70">
        <f t="shared" si="32"/>
        <v>0</v>
      </c>
      <c r="S56" s="71">
        <f t="shared" si="4"/>
        <v>0</v>
      </c>
      <c r="T56" s="71">
        <f t="shared" si="5"/>
        <v>0</v>
      </c>
      <c r="U56" s="71">
        <f t="shared" si="6"/>
        <v>0</v>
      </c>
      <c r="V56" s="71">
        <f t="shared" si="7"/>
        <v>0</v>
      </c>
      <c r="W56" s="71">
        <f t="shared" si="8"/>
        <v>0</v>
      </c>
      <c r="X56" s="71">
        <f t="shared" si="9"/>
        <v>0</v>
      </c>
      <c r="Y56" s="71">
        <f t="shared" si="10"/>
        <v>0</v>
      </c>
      <c r="Z56" s="71">
        <f t="shared" si="11"/>
        <v>0</v>
      </c>
      <c r="AA56" s="71">
        <f t="shared" si="12"/>
        <v>0</v>
      </c>
      <c r="AB56" s="71">
        <f t="shared" si="13"/>
        <v>0</v>
      </c>
    </row>
    <row r="57" spans="15:28" ht="18" customHeight="1" x14ac:dyDescent="0.2">
      <c r="O57" s="1">
        <v>3</v>
      </c>
      <c r="P57" s="19" t="str">
        <f t="shared" si="31"/>
        <v>Perpetual-Entreprise-16</v>
      </c>
      <c r="Q57" s="70">
        <f t="shared" ref="Q57:R57" si="33">L5</f>
        <v>1903</v>
      </c>
      <c r="R57" s="70">
        <f t="shared" si="33"/>
        <v>523.32500000000005</v>
      </c>
      <c r="S57" s="71">
        <f t="shared" si="4"/>
        <v>1903</v>
      </c>
      <c r="T57" s="71">
        <f t="shared" si="5"/>
        <v>2426.3249999999998</v>
      </c>
      <c r="U57" s="71">
        <f t="shared" si="6"/>
        <v>2949.65</v>
      </c>
      <c r="V57" s="71">
        <f t="shared" si="7"/>
        <v>3315.9775</v>
      </c>
      <c r="W57" s="71">
        <f t="shared" si="8"/>
        <v>3786.9700000000003</v>
      </c>
      <c r="X57" s="71">
        <f t="shared" si="9"/>
        <v>4127.1312500000004</v>
      </c>
      <c r="Y57" s="71">
        <f t="shared" si="10"/>
        <v>4571.9575000000004</v>
      </c>
      <c r="Z57" s="71">
        <f t="shared" si="11"/>
        <v>5016.7837500000005</v>
      </c>
      <c r="AA57" s="71">
        <f t="shared" si="12"/>
        <v>5461.6100000000006</v>
      </c>
      <c r="AB57" s="71">
        <f t="shared" si="13"/>
        <v>5906.4362500000007</v>
      </c>
    </row>
    <row r="58" spans="15:28" ht="18" customHeight="1" x14ac:dyDescent="0.2">
      <c r="O58" s="1">
        <v>4</v>
      </c>
      <c r="P58" s="19" t="str">
        <f t="shared" si="31"/>
        <v>Perpetual-Entreprise-24</v>
      </c>
      <c r="Q58" s="70">
        <f t="shared" ref="Q58:R58" si="34">L6</f>
        <v>0</v>
      </c>
      <c r="R58" s="70">
        <f t="shared" si="34"/>
        <v>0</v>
      </c>
      <c r="S58" s="71">
        <f t="shared" si="4"/>
        <v>0</v>
      </c>
      <c r="T58" s="71">
        <f t="shared" si="5"/>
        <v>0</v>
      </c>
      <c r="U58" s="71">
        <f t="shared" si="6"/>
        <v>0</v>
      </c>
      <c r="V58" s="71">
        <f t="shared" si="7"/>
        <v>0</v>
      </c>
      <c r="W58" s="71">
        <f t="shared" si="8"/>
        <v>0</v>
      </c>
      <c r="X58" s="71">
        <f t="shared" si="9"/>
        <v>0</v>
      </c>
      <c r="Y58" s="71">
        <f t="shared" si="10"/>
        <v>0</v>
      </c>
      <c r="Z58" s="71">
        <f t="shared" si="11"/>
        <v>0</v>
      </c>
      <c r="AA58" s="71">
        <f t="shared" si="12"/>
        <v>0</v>
      </c>
      <c r="AB58" s="71">
        <f t="shared" si="13"/>
        <v>0</v>
      </c>
    </row>
    <row r="59" spans="15:28" ht="18" customHeight="1" x14ac:dyDescent="0.2">
      <c r="O59" s="1">
        <v>5</v>
      </c>
      <c r="P59" s="19" t="str">
        <f t="shared" si="31"/>
        <v>Perpetual-Entreprise-32</v>
      </c>
      <c r="Q59" s="70">
        <f t="shared" ref="Q59:R59" si="35">L7</f>
        <v>4318</v>
      </c>
      <c r="R59" s="70">
        <f t="shared" si="35"/>
        <v>1187.45</v>
      </c>
      <c r="S59" s="71">
        <f t="shared" si="4"/>
        <v>4318</v>
      </c>
      <c r="T59" s="71">
        <f t="shared" si="5"/>
        <v>5505.45</v>
      </c>
      <c r="U59" s="71">
        <f t="shared" si="6"/>
        <v>6692.9</v>
      </c>
      <c r="V59" s="71">
        <f t="shared" si="7"/>
        <v>7524.1149999999998</v>
      </c>
      <c r="W59" s="71">
        <f t="shared" si="8"/>
        <v>8592.82</v>
      </c>
      <c r="X59" s="71">
        <f t="shared" si="9"/>
        <v>9364.6625000000004</v>
      </c>
      <c r="Y59" s="71">
        <f t="shared" si="10"/>
        <v>10373.995000000001</v>
      </c>
      <c r="Z59" s="71">
        <f t="shared" si="11"/>
        <v>11383.327499999999</v>
      </c>
      <c r="AA59" s="71">
        <f t="shared" si="12"/>
        <v>12392.66</v>
      </c>
      <c r="AB59" s="71">
        <f t="shared" si="13"/>
        <v>13401.9925</v>
      </c>
    </row>
    <row r="60" spans="15:28" ht="18" customHeight="1" x14ac:dyDescent="0.2">
      <c r="O60" s="1">
        <v>6</v>
      </c>
      <c r="P60" s="19" t="str">
        <f t="shared" si="31"/>
        <v>Perpetual-Entreprise-48</v>
      </c>
      <c r="Q60" s="70">
        <f t="shared" ref="Q60:R60" si="36">L8</f>
        <v>0</v>
      </c>
      <c r="R60" s="70">
        <f t="shared" si="36"/>
        <v>0</v>
      </c>
      <c r="S60" s="71">
        <f t="shared" si="4"/>
        <v>0</v>
      </c>
      <c r="T60" s="71">
        <f t="shared" si="5"/>
        <v>0</v>
      </c>
      <c r="U60" s="71">
        <f t="shared" si="6"/>
        <v>0</v>
      </c>
      <c r="V60" s="71">
        <f t="shared" si="7"/>
        <v>0</v>
      </c>
      <c r="W60" s="71">
        <f t="shared" si="8"/>
        <v>0</v>
      </c>
      <c r="X60" s="71">
        <f t="shared" si="9"/>
        <v>0</v>
      </c>
      <c r="Y60" s="71">
        <f t="shared" si="10"/>
        <v>0</v>
      </c>
      <c r="Z60" s="71">
        <f t="shared" si="11"/>
        <v>0</v>
      </c>
      <c r="AA60" s="71">
        <f t="shared" si="12"/>
        <v>0</v>
      </c>
      <c r="AB60" s="71">
        <f t="shared" si="13"/>
        <v>0</v>
      </c>
    </row>
    <row r="61" spans="15:28" ht="18" customHeight="1" x14ac:dyDescent="0.2">
      <c r="O61" s="1">
        <v>7</v>
      </c>
      <c r="P61" s="19" t="str">
        <f t="shared" si="31"/>
        <v>Perpetual-Entreprise-64</v>
      </c>
      <c r="Q61" s="70">
        <f t="shared" ref="Q61:R61" si="37">L9</f>
        <v>8657</v>
      </c>
      <c r="R61" s="70">
        <f t="shared" si="37"/>
        <v>2380.6750000000002</v>
      </c>
      <c r="S61" s="71">
        <f t="shared" si="4"/>
        <v>8657</v>
      </c>
      <c r="T61" s="71">
        <f t="shared" si="5"/>
        <v>11037.674999999999</v>
      </c>
      <c r="U61" s="71">
        <f t="shared" si="6"/>
        <v>13418.35</v>
      </c>
      <c r="V61" s="71">
        <f t="shared" si="7"/>
        <v>15084.8225</v>
      </c>
      <c r="W61" s="71">
        <f t="shared" si="8"/>
        <v>17227.43</v>
      </c>
      <c r="X61" s="71">
        <f t="shared" si="9"/>
        <v>18774.868750000001</v>
      </c>
      <c r="Y61" s="71">
        <f t="shared" si="10"/>
        <v>20798.442500000001</v>
      </c>
      <c r="Z61" s="71">
        <f t="shared" si="11"/>
        <v>22822.016250000001</v>
      </c>
      <c r="AA61" s="71">
        <f t="shared" si="12"/>
        <v>24845.590000000004</v>
      </c>
      <c r="AB61" s="71">
        <f t="shared" si="13"/>
        <v>26869.16375</v>
      </c>
    </row>
    <row r="62" spans="15:28" ht="18" customHeight="1" x14ac:dyDescent="0.2">
      <c r="O62" s="1">
        <v>8</v>
      </c>
      <c r="P62" s="19" t="str">
        <f t="shared" si="31"/>
        <v>Perpetual-Entreprise-96</v>
      </c>
      <c r="Q62" s="70">
        <f t="shared" ref="Q62:R62" si="38">L10</f>
        <v>0</v>
      </c>
      <c r="R62" s="70">
        <f t="shared" si="38"/>
        <v>0</v>
      </c>
      <c r="S62" s="71">
        <f t="shared" si="4"/>
        <v>0</v>
      </c>
      <c r="T62" s="71">
        <f t="shared" si="5"/>
        <v>0</v>
      </c>
      <c r="U62" s="71">
        <f t="shared" si="6"/>
        <v>0</v>
      </c>
      <c r="V62" s="71">
        <f t="shared" si="7"/>
        <v>0</v>
      </c>
      <c r="W62" s="71">
        <f t="shared" si="8"/>
        <v>0</v>
      </c>
      <c r="X62" s="71">
        <f t="shared" si="9"/>
        <v>0</v>
      </c>
      <c r="Y62" s="71">
        <f t="shared" si="10"/>
        <v>0</v>
      </c>
      <c r="Z62" s="71">
        <f t="shared" si="11"/>
        <v>0</v>
      </c>
      <c r="AA62" s="71">
        <f t="shared" si="12"/>
        <v>0</v>
      </c>
      <c r="AB62" s="71">
        <f t="shared" si="13"/>
        <v>0</v>
      </c>
    </row>
    <row r="63" spans="15:28" ht="18" customHeight="1" x14ac:dyDescent="0.2">
      <c r="O63" s="1">
        <v>9</v>
      </c>
      <c r="P63" s="19" t="str">
        <f t="shared" si="31"/>
        <v>Perpetual-Entreprise-128</v>
      </c>
      <c r="Q63" s="70">
        <f t="shared" ref="Q63:R63" si="39">L11</f>
        <v>16858</v>
      </c>
      <c r="R63" s="70">
        <f t="shared" si="39"/>
        <v>4635.9500000000007</v>
      </c>
      <c r="S63" s="71">
        <f t="shared" si="4"/>
        <v>16858</v>
      </c>
      <c r="T63" s="71">
        <f t="shared" si="5"/>
        <v>21493.95</v>
      </c>
      <c r="U63" s="71">
        <f t="shared" si="6"/>
        <v>26129.9</v>
      </c>
      <c r="V63" s="71">
        <f t="shared" si="7"/>
        <v>29375.065000000002</v>
      </c>
      <c r="W63" s="71">
        <f t="shared" si="8"/>
        <v>33547.42</v>
      </c>
      <c r="X63" s="71">
        <f t="shared" si="9"/>
        <v>36560.787500000006</v>
      </c>
      <c r="Y63" s="71">
        <f t="shared" si="10"/>
        <v>40501.345000000001</v>
      </c>
      <c r="Z63" s="71">
        <f t="shared" si="11"/>
        <v>44441.902500000004</v>
      </c>
      <c r="AA63" s="71">
        <f t="shared" si="12"/>
        <v>48382.460000000006</v>
      </c>
      <c r="AB63" s="71">
        <f t="shared" si="13"/>
        <v>52323.017500000002</v>
      </c>
    </row>
    <row r="64" spans="15:28" ht="18" customHeight="1" x14ac:dyDescent="0.2">
      <c r="O64" s="1">
        <v>10</v>
      </c>
      <c r="P64" s="19" t="str">
        <f t="shared" si="31"/>
        <v>Perpetual-Entreprise-192</v>
      </c>
      <c r="Q64" s="70">
        <f t="shared" ref="Q64:R64" si="40">L12</f>
        <v>0</v>
      </c>
      <c r="R64" s="70">
        <f t="shared" si="40"/>
        <v>0</v>
      </c>
      <c r="S64" s="71">
        <f t="shared" si="4"/>
        <v>0</v>
      </c>
      <c r="T64" s="71">
        <f t="shared" si="5"/>
        <v>0</v>
      </c>
      <c r="U64" s="71">
        <f t="shared" si="6"/>
        <v>0</v>
      </c>
      <c r="V64" s="71">
        <f t="shared" si="7"/>
        <v>0</v>
      </c>
      <c r="W64" s="71">
        <f t="shared" si="8"/>
        <v>0</v>
      </c>
      <c r="X64" s="71">
        <f t="shared" si="9"/>
        <v>0</v>
      </c>
      <c r="Y64" s="71">
        <f t="shared" si="10"/>
        <v>0</v>
      </c>
      <c r="Z64" s="71">
        <f t="shared" si="11"/>
        <v>0</v>
      </c>
      <c r="AA64" s="71">
        <f t="shared" si="12"/>
        <v>0</v>
      </c>
      <c r="AB64" s="71">
        <f t="shared" si="13"/>
        <v>0</v>
      </c>
    </row>
    <row r="65" spans="15:28" ht="18" customHeight="1" x14ac:dyDescent="0.2">
      <c r="O65" s="1">
        <v>11</v>
      </c>
      <c r="P65" s="19" t="str">
        <f t="shared" si="31"/>
        <v>Perpetual-Entreprise-256</v>
      </c>
      <c r="Q65" s="70">
        <f t="shared" ref="Q65:R65" si="41">L13</f>
        <v>33743</v>
      </c>
      <c r="R65" s="70">
        <f t="shared" si="41"/>
        <v>9279.3250000000007</v>
      </c>
      <c r="S65" s="71">
        <f t="shared" si="4"/>
        <v>33743</v>
      </c>
      <c r="T65" s="71">
        <f t="shared" si="5"/>
        <v>43022.324999999997</v>
      </c>
      <c r="U65" s="71">
        <f t="shared" si="6"/>
        <v>52301.65</v>
      </c>
      <c r="V65" s="71">
        <f t="shared" si="7"/>
        <v>58797.177500000005</v>
      </c>
      <c r="W65" s="71">
        <f t="shared" si="8"/>
        <v>67148.570000000007</v>
      </c>
      <c r="X65" s="71">
        <f t="shared" si="9"/>
        <v>73180.131250000006</v>
      </c>
      <c r="Y65" s="71">
        <f t="shared" si="10"/>
        <v>81067.557499999995</v>
      </c>
      <c r="Z65" s="71">
        <f t="shared" si="11"/>
        <v>88954.983750000014</v>
      </c>
      <c r="AA65" s="71">
        <f t="shared" si="12"/>
        <v>96842.41</v>
      </c>
      <c r="AB65" s="71">
        <f t="shared" si="13"/>
        <v>104729.83625000001</v>
      </c>
    </row>
    <row r="66" spans="15:28" ht="18" customHeight="1" x14ac:dyDescent="0.2">
      <c r="O66" s="1">
        <v>12</v>
      </c>
      <c r="P66" s="19" t="str">
        <f t="shared" si="31"/>
        <v>Perpetual-Entreprise-512</v>
      </c>
      <c r="Q66" s="70">
        <f t="shared" ref="Q66:R66" si="42">L14</f>
        <v>53037</v>
      </c>
      <c r="R66" s="70">
        <f t="shared" si="42"/>
        <v>14585.175000000001</v>
      </c>
      <c r="S66" s="71">
        <f t="shared" si="4"/>
        <v>53037</v>
      </c>
      <c r="T66" s="71">
        <f t="shared" si="5"/>
        <v>67622.175000000003</v>
      </c>
      <c r="U66" s="71">
        <f t="shared" si="6"/>
        <v>82207.350000000006</v>
      </c>
      <c r="V66" s="71">
        <f t="shared" si="7"/>
        <v>92416.972500000003</v>
      </c>
      <c r="W66" s="71">
        <f t="shared" si="8"/>
        <v>105543.63</v>
      </c>
      <c r="X66" s="71">
        <f t="shared" si="9"/>
        <v>115023.99374999999</v>
      </c>
      <c r="Y66" s="71">
        <f t="shared" si="10"/>
        <v>127421.3925</v>
      </c>
      <c r="Z66" s="71">
        <f t="shared" si="11"/>
        <v>139818.79125000001</v>
      </c>
      <c r="AA66" s="71">
        <f t="shared" si="12"/>
        <v>152216.19</v>
      </c>
      <c r="AB66" s="71">
        <f t="shared" si="13"/>
        <v>164613.58875</v>
      </c>
    </row>
    <row r="67" spans="15:28" ht="18" customHeight="1" x14ac:dyDescent="0.2">
      <c r="O67" s="1">
        <v>13</v>
      </c>
      <c r="P67" s="19" t="str">
        <f t="shared" si="31"/>
        <v>Perpetual-Entreprise-1024</v>
      </c>
      <c r="Q67" s="70">
        <f t="shared" ref="Q67:R67" si="43">L15</f>
        <v>96448</v>
      </c>
      <c r="R67" s="70">
        <f t="shared" si="43"/>
        <v>26523.200000000001</v>
      </c>
      <c r="S67" s="71">
        <f t="shared" si="4"/>
        <v>96448</v>
      </c>
      <c r="T67" s="71">
        <f t="shared" si="5"/>
        <v>122971.2</v>
      </c>
      <c r="U67" s="71">
        <f t="shared" si="6"/>
        <v>149494.39999999999</v>
      </c>
      <c r="V67" s="71">
        <f t="shared" si="7"/>
        <v>168060.64</v>
      </c>
      <c r="W67" s="71">
        <f t="shared" si="8"/>
        <v>191931.52000000002</v>
      </c>
      <c r="X67" s="71">
        <f t="shared" si="9"/>
        <v>209171.6</v>
      </c>
      <c r="Y67" s="71">
        <f t="shared" si="10"/>
        <v>231716.32</v>
      </c>
      <c r="Z67" s="71">
        <f t="shared" si="11"/>
        <v>254261.03999999998</v>
      </c>
      <c r="AA67" s="71">
        <f t="shared" si="12"/>
        <v>276805.76000000001</v>
      </c>
      <c r="AB67" s="71">
        <f t="shared" si="13"/>
        <v>299350.48</v>
      </c>
    </row>
    <row r="68" spans="15:28" ht="18" customHeight="1" x14ac:dyDescent="0.2">
      <c r="O68" s="1">
        <v>1</v>
      </c>
      <c r="P68" s="19" t="str">
        <f>$F$2&amp;"-"&amp;$L$1&amp;"-"&amp;B3</f>
        <v>Annual-Entreprise-4</v>
      </c>
      <c r="Q68" s="70">
        <f>N3</f>
        <v>266</v>
      </c>
      <c r="R68" s="70">
        <v>0</v>
      </c>
      <c r="S68" s="71">
        <f t="shared" ref="S68:S80" si="44">Q68</f>
        <v>266</v>
      </c>
      <c r="T68" s="71">
        <f t="shared" ref="T68:T80" si="45">IF(LEFT(P68,3)="Per",Q68+(1*R68),Q68*2)</f>
        <v>532</v>
      </c>
      <c r="U68" s="71">
        <f t="shared" ref="U68:U80" si="46">IF(LEFT(P68,3)="Per",Q68+(2*R68),Q68*3)</f>
        <v>798</v>
      </c>
      <c r="V68" s="71">
        <f t="shared" ref="V68:V80" si="47">IF(LEFT(P68,3)="Per",Q68+((3*R68)-(3*R68)*$V$1/100),Q68*4)</f>
        <v>1064</v>
      </c>
      <c r="W68" s="71">
        <f t="shared" ref="W68:W80" si="48">IF(LEFT(P68,3)="Per",Q68+((4*R68)-(4*R68)*$W$1/100),Q68*5)</f>
        <v>1330</v>
      </c>
      <c r="X68" s="71">
        <f t="shared" ref="X68:X80" si="49">IF(LEFT(P68,3)="Per",Q68+((5*R68)-(5*R68)*$X$1/100),Q68*6)</f>
        <v>1596</v>
      </c>
      <c r="Y68" s="71">
        <f t="shared" ref="Y68:Y80" si="50">IF(LEFT(P68,3)="Per",Q68+((6*R68)-(6*R68)*$Y$1/100),Q68*7)</f>
        <v>1862</v>
      </c>
      <c r="Z68" s="71">
        <f t="shared" ref="Z68:Z80" si="51">IF(LEFT(P68,3)="Per",Q68+((7*R68)-(7*R68)*$Z$1/100),Q68*8)</f>
        <v>2128</v>
      </c>
      <c r="AA68" s="71">
        <f t="shared" ref="AA68:AA80" si="52">IF(LEFT(P68,3)="Per",Q68+((8*R68)-(8*R68)*$AA$1/100),Q68*9)</f>
        <v>2394</v>
      </c>
      <c r="AB68" s="71">
        <f t="shared" ref="AB68:AB80" si="53">IF(LEFT(P68,3)="Per",Q68+((9*R68)-(9*R68)*$AB$1/100),Q68*10)</f>
        <v>2660</v>
      </c>
    </row>
    <row r="69" spans="15:28" ht="18" customHeight="1" x14ac:dyDescent="0.2">
      <c r="O69" s="1">
        <v>2</v>
      </c>
      <c r="P69" s="19" t="str">
        <f t="shared" ref="P69:P80" si="54">$F$2&amp;"-"&amp;$L$1&amp;"-"&amp;B4</f>
        <v>Annual-Entreprise-8</v>
      </c>
      <c r="Q69" s="70">
        <f t="shared" ref="Q69:Q79" si="55">N4</f>
        <v>345</v>
      </c>
      <c r="R69" s="70">
        <v>0</v>
      </c>
      <c r="S69" s="71">
        <f t="shared" si="44"/>
        <v>345</v>
      </c>
      <c r="T69" s="71">
        <f t="shared" si="45"/>
        <v>690</v>
      </c>
      <c r="U69" s="71">
        <f t="shared" si="46"/>
        <v>1035</v>
      </c>
      <c r="V69" s="71">
        <f t="shared" si="47"/>
        <v>1380</v>
      </c>
      <c r="W69" s="71">
        <f t="shared" si="48"/>
        <v>1725</v>
      </c>
      <c r="X69" s="71">
        <f t="shared" si="49"/>
        <v>2070</v>
      </c>
      <c r="Y69" s="71">
        <f t="shared" si="50"/>
        <v>2415</v>
      </c>
      <c r="Z69" s="71">
        <f t="shared" si="51"/>
        <v>2760</v>
      </c>
      <c r="AA69" s="71">
        <f t="shared" si="52"/>
        <v>3105</v>
      </c>
      <c r="AB69" s="71">
        <f t="shared" si="53"/>
        <v>3450</v>
      </c>
    </row>
    <row r="70" spans="15:28" ht="18" customHeight="1" x14ac:dyDescent="0.2">
      <c r="O70" s="1">
        <v>3</v>
      </c>
      <c r="P70" s="19" t="str">
        <f t="shared" si="54"/>
        <v>Annual-Entreprise-16</v>
      </c>
      <c r="Q70" s="70">
        <f t="shared" si="55"/>
        <v>692</v>
      </c>
      <c r="R70" s="70">
        <v>0</v>
      </c>
      <c r="S70" s="71">
        <f t="shared" si="44"/>
        <v>692</v>
      </c>
      <c r="T70" s="71">
        <f t="shared" si="45"/>
        <v>1384</v>
      </c>
      <c r="U70" s="71">
        <f t="shared" si="46"/>
        <v>2076</v>
      </c>
      <c r="V70" s="71">
        <f t="shared" si="47"/>
        <v>2768</v>
      </c>
      <c r="W70" s="71">
        <f t="shared" si="48"/>
        <v>3460</v>
      </c>
      <c r="X70" s="71">
        <f t="shared" si="49"/>
        <v>4152</v>
      </c>
      <c r="Y70" s="71">
        <f t="shared" si="50"/>
        <v>4844</v>
      </c>
      <c r="Z70" s="71">
        <f t="shared" si="51"/>
        <v>5536</v>
      </c>
      <c r="AA70" s="71">
        <f t="shared" si="52"/>
        <v>6228</v>
      </c>
      <c r="AB70" s="71">
        <f t="shared" si="53"/>
        <v>6920</v>
      </c>
    </row>
    <row r="71" spans="15:28" ht="18" customHeight="1" x14ac:dyDescent="0.2">
      <c r="O71" s="1">
        <v>4</v>
      </c>
      <c r="P71" s="19" t="str">
        <f t="shared" si="54"/>
        <v>Annual-Entreprise-24</v>
      </c>
      <c r="Q71" s="70">
        <f t="shared" si="55"/>
        <v>1044</v>
      </c>
      <c r="R71" s="70">
        <v>0</v>
      </c>
      <c r="S71" s="71">
        <f t="shared" si="44"/>
        <v>1044</v>
      </c>
      <c r="T71" s="71">
        <f t="shared" si="45"/>
        <v>2088</v>
      </c>
      <c r="U71" s="71">
        <f t="shared" si="46"/>
        <v>3132</v>
      </c>
      <c r="V71" s="71">
        <f t="shared" si="47"/>
        <v>4176</v>
      </c>
      <c r="W71" s="71">
        <f t="shared" si="48"/>
        <v>5220</v>
      </c>
      <c r="X71" s="71">
        <f t="shared" si="49"/>
        <v>6264</v>
      </c>
      <c r="Y71" s="71">
        <f t="shared" si="50"/>
        <v>7308</v>
      </c>
      <c r="Z71" s="71">
        <f t="shared" si="51"/>
        <v>8352</v>
      </c>
      <c r="AA71" s="71">
        <f t="shared" si="52"/>
        <v>9396</v>
      </c>
      <c r="AB71" s="71">
        <f t="shared" si="53"/>
        <v>10440</v>
      </c>
    </row>
    <row r="72" spans="15:28" ht="18" customHeight="1" x14ac:dyDescent="0.2">
      <c r="O72" s="1">
        <v>5</v>
      </c>
      <c r="P72" s="19" t="str">
        <f t="shared" si="54"/>
        <v>Annual-Entreprise-32</v>
      </c>
      <c r="Q72" s="70">
        <f t="shared" si="55"/>
        <v>1570</v>
      </c>
      <c r="R72" s="70">
        <v>0</v>
      </c>
      <c r="S72" s="71">
        <f t="shared" si="44"/>
        <v>1570</v>
      </c>
      <c r="T72" s="71">
        <f t="shared" si="45"/>
        <v>3140</v>
      </c>
      <c r="U72" s="71">
        <f t="shared" si="46"/>
        <v>4710</v>
      </c>
      <c r="V72" s="71">
        <f t="shared" si="47"/>
        <v>6280</v>
      </c>
      <c r="W72" s="71">
        <f t="shared" si="48"/>
        <v>7850</v>
      </c>
      <c r="X72" s="71">
        <f t="shared" si="49"/>
        <v>9420</v>
      </c>
      <c r="Y72" s="71">
        <f t="shared" si="50"/>
        <v>10990</v>
      </c>
      <c r="Z72" s="71">
        <f t="shared" si="51"/>
        <v>12560</v>
      </c>
      <c r="AA72" s="71">
        <f t="shared" si="52"/>
        <v>14130</v>
      </c>
      <c r="AB72" s="71">
        <f t="shared" si="53"/>
        <v>15700</v>
      </c>
    </row>
    <row r="73" spans="15:28" ht="18" customHeight="1" x14ac:dyDescent="0.2">
      <c r="O73" s="1">
        <v>6</v>
      </c>
      <c r="P73" s="19" t="str">
        <f t="shared" si="54"/>
        <v>Annual-Entreprise-48</v>
      </c>
      <c r="Q73" s="70">
        <f t="shared" si="55"/>
        <v>2368</v>
      </c>
      <c r="R73" s="70">
        <v>0</v>
      </c>
      <c r="S73" s="71">
        <f t="shared" si="44"/>
        <v>2368</v>
      </c>
      <c r="T73" s="71">
        <f t="shared" si="45"/>
        <v>4736</v>
      </c>
      <c r="U73" s="71">
        <f t="shared" si="46"/>
        <v>7104</v>
      </c>
      <c r="V73" s="71">
        <f t="shared" si="47"/>
        <v>9472</v>
      </c>
      <c r="W73" s="71">
        <f t="shared" si="48"/>
        <v>11840</v>
      </c>
      <c r="X73" s="71">
        <f t="shared" si="49"/>
        <v>14208</v>
      </c>
      <c r="Y73" s="71">
        <f t="shared" si="50"/>
        <v>16576</v>
      </c>
      <c r="Z73" s="71">
        <f t="shared" si="51"/>
        <v>18944</v>
      </c>
      <c r="AA73" s="71">
        <f t="shared" si="52"/>
        <v>21312</v>
      </c>
      <c r="AB73" s="71">
        <f t="shared" si="53"/>
        <v>23680</v>
      </c>
    </row>
    <row r="74" spans="15:28" ht="18" customHeight="1" x14ac:dyDescent="0.2">
      <c r="O74" s="1">
        <v>7</v>
      </c>
      <c r="P74" s="19" t="str">
        <f t="shared" si="54"/>
        <v>Annual-Entreprise-64</v>
      </c>
      <c r="Q74" s="70">
        <f t="shared" si="55"/>
        <v>3148</v>
      </c>
      <c r="R74" s="70">
        <v>0</v>
      </c>
      <c r="S74" s="71">
        <f t="shared" si="44"/>
        <v>3148</v>
      </c>
      <c r="T74" s="71">
        <f t="shared" si="45"/>
        <v>6296</v>
      </c>
      <c r="U74" s="71">
        <f t="shared" si="46"/>
        <v>9444</v>
      </c>
      <c r="V74" s="71">
        <f t="shared" si="47"/>
        <v>12592</v>
      </c>
      <c r="W74" s="71">
        <f t="shared" si="48"/>
        <v>15740</v>
      </c>
      <c r="X74" s="71">
        <f t="shared" si="49"/>
        <v>18888</v>
      </c>
      <c r="Y74" s="71">
        <f t="shared" si="50"/>
        <v>22036</v>
      </c>
      <c r="Z74" s="71">
        <f t="shared" si="51"/>
        <v>25184</v>
      </c>
      <c r="AA74" s="71">
        <f t="shared" si="52"/>
        <v>28332</v>
      </c>
      <c r="AB74" s="71">
        <f t="shared" si="53"/>
        <v>31480</v>
      </c>
    </row>
    <row r="75" spans="15:28" ht="18" customHeight="1" x14ac:dyDescent="0.2">
      <c r="O75" s="1">
        <v>8</v>
      </c>
      <c r="P75" s="19" t="str">
        <f t="shared" si="54"/>
        <v>Annual-Entreprise-96</v>
      </c>
      <c r="Q75" s="70">
        <f t="shared" si="55"/>
        <v>4728</v>
      </c>
      <c r="R75" s="70">
        <v>0</v>
      </c>
      <c r="S75" s="71">
        <f t="shared" si="44"/>
        <v>4728</v>
      </c>
      <c r="T75" s="71">
        <f t="shared" si="45"/>
        <v>9456</v>
      </c>
      <c r="U75" s="71">
        <f t="shared" si="46"/>
        <v>14184</v>
      </c>
      <c r="V75" s="71">
        <f t="shared" si="47"/>
        <v>18912</v>
      </c>
      <c r="W75" s="71">
        <f t="shared" si="48"/>
        <v>23640</v>
      </c>
      <c r="X75" s="71">
        <f t="shared" si="49"/>
        <v>28368</v>
      </c>
      <c r="Y75" s="71">
        <f t="shared" si="50"/>
        <v>33096</v>
      </c>
      <c r="Z75" s="71">
        <f t="shared" si="51"/>
        <v>37824</v>
      </c>
      <c r="AA75" s="71">
        <f t="shared" si="52"/>
        <v>42552</v>
      </c>
      <c r="AB75" s="71">
        <f t="shared" si="53"/>
        <v>47280</v>
      </c>
    </row>
    <row r="76" spans="15:28" ht="18" customHeight="1" x14ac:dyDescent="0.2">
      <c r="O76" s="1">
        <v>9</v>
      </c>
      <c r="P76" s="19" t="str">
        <f t="shared" si="54"/>
        <v>Annual-Entreprise-128</v>
      </c>
      <c r="Q76" s="70">
        <f t="shared" si="55"/>
        <v>6130</v>
      </c>
      <c r="R76" s="70">
        <v>0</v>
      </c>
      <c r="S76" s="71">
        <f t="shared" si="44"/>
        <v>6130</v>
      </c>
      <c r="T76" s="71">
        <f t="shared" si="45"/>
        <v>12260</v>
      </c>
      <c r="U76" s="71">
        <f t="shared" si="46"/>
        <v>18390</v>
      </c>
      <c r="V76" s="71">
        <f t="shared" si="47"/>
        <v>24520</v>
      </c>
      <c r="W76" s="71">
        <f t="shared" si="48"/>
        <v>30650</v>
      </c>
      <c r="X76" s="71">
        <f t="shared" si="49"/>
        <v>36780</v>
      </c>
      <c r="Y76" s="71">
        <f t="shared" si="50"/>
        <v>42910</v>
      </c>
      <c r="Z76" s="71">
        <f t="shared" si="51"/>
        <v>49040</v>
      </c>
      <c r="AA76" s="71">
        <f t="shared" si="52"/>
        <v>55170</v>
      </c>
      <c r="AB76" s="71">
        <f t="shared" si="53"/>
        <v>61300</v>
      </c>
    </row>
    <row r="77" spans="15:28" ht="18" customHeight="1" x14ac:dyDescent="0.2">
      <c r="O77" s="1">
        <v>10</v>
      </c>
      <c r="P77" s="19" t="str">
        <f t="shared" si="54"/>
        <v>Annual-Entreprise-192</v>
      </c>
      <c r="Q77" s="70">
        <f t="shared" si="55"/>
        <v>9208</v>
      </c>
      <c r="R77" s="70">
        <v>0</v>
      </c>
      <c r="S77" s="71">
        <f t="shared" si="44"/>
        <v>9208</v>
      </c>
      <c r="T77" s="71">
        <f t="shared" si="45"/>
        <v>18416</v>
      </c>
      <c r="U77" s="71">
        <f t="shared" si="46"/>
        <v>27624</v>
      </c>
      <c r="V77" s="71">
        <f t="shared" si="47"/>
        <v>36832</v>
      </c>
      <c r="W77" s="71">
        <f t="shared" si="48"/>
        <v>46040</v>
      </c>
      <c r="X77" s="71">
        <f t="shared" si="49"/>
        <v>55248</v>
      </c>
      <c r="Y77" s="71">
        <f t="shared" si="50"/>
        <v>64456</v>
      </c>
      <c r="Z77" s="71">
        <f t="shared" si="51"/>
        <v>73664</v>
      </c>
      <c r="AA77" s="71">
        <f t="shared" si="52"/>
        <v>82872</v>
      </c>
      <c r="AB77" s="71">
        <f t="shared" si="53"/>
        <v>92080</v>
      </c>
    </row>
    <row r="78" spans="15:28" ht="18" customHeight="1" x14ac:dyDescent="0.2">
      <c r="O78" s="1">
        <v>11</v>
      </c>
      <c r="P78" s="19" t="str">
        <f t="shared" si="54"/>
        <v>Annual-Entreprise-256</v>
      </c>
      <c r="Q78" s="70">
        <f t="shared" si="55"/>
        <v>12270</v>
      </c>
      <c r="R78" s="70">
        <v>0</v>
      </c>
      <c r="S78" s="71">
        <f t="shared" si="44"/>
        <v>12270</v>
      </c>
      <c r="T78" s="71">
        <f t="shared" si="45"/>
        <v>24540</v>
      </c>
      <c r="U78" s="71">
        <f t="shared" si="46"/>
        <v>36810</v>
      </c>
      <c r="V78" s="71">
        <f t="shared" si="47"/>
        <v>49080</v>
      </c>
      <c r="W78" s="71">
        <f t="shared" si="48"/>
        <v>61350</v>
      </c>
      <c r="X78" s="71">
        <f t="shared" si="49"/>
        <v>73620</v>
      </c>
      <c r="Y78" s="71">
        <f t="shared" si="50"/>
        <v>85890</v>
      </c>
      <c r="Z78" s="71">
        <f t="shared" si="51"/>
        <v>98160</v>
      </c>
      <c r="AA78" s="71">
        <f t="shared" si="52"/>
        <v>110430</v>
      </c>
      <c r="AB78" s="71">
        <f t="shared" si="53"/>
        <v>122700</v>
      </c>
    </row>
    <row r="79" spans="15:28" ht="18" customHeight="1" x14ac:dyDescent="0.2">
      <c r="O79" s="1">
        <v>12</v>
      </c>
      <c r="P79" s="19" t="str">
        <f t="shared" si="54"/>
        <v>Annual-Entreprise-512</v>
      </c>
      <c r="Q79" s="70">
        <f t="shared" si="55"/>
        <v>19286</v>
      </c>
      <c r="R79" s="70">
        <v>0</v>
      </c>
      <c r="S79" s="71">
        <f t="shared" si="44"/>
        <v>19286</v>
      </c>
      <c r="T79" s="71">
        <f t="shared" si="45"/>
        <v>38572</v>
      </c>
      <c r="U79" s="71">
        <f t="shared" si="46"/>
        <v>57858</v>
      </c>
      <c r="V79" s="71">
        <f t="shared" si="47"/>
        <v>77144</v>
      </c>
      <c r="W79" s="71">
        <f t="shared" si="48"/>
        <v>96430</v>
      </c>
      <c r="X79" s="71">
        <f t="shared" si="49"/>
        <v>115716</v>
      </c>
      <c r="Y79" s="71">
        <f t="shared" si="50"/>
        <v>135002</v>
      </c>
      <c r="Z79" s="71">
        <f t="shared" si="51"/>
        <v>154288</v>
      </c>
      <c r="AA79" s="71">
        <f t="shared" si="52"/>
        <v>173574</v>
      </c>
      <c r="AB79" s="71">
        <f t="shared" si="53"/>
        <v>192860</v>
      </c>
    </row>
    <row r="80" spans="15:28" ht="18" customHeight="1" x14ac:dyDescent="0.2">
      <c r="O80" s="1">
        <v>13</v>
      </c>
      <c r="P80" s="19" t="str">
        <f t="shared" si="54"/>
        <v>Annual-Entreprise-1024</v>
      </c>
      <c r="Q80" s="70">
        <f t="shared" ref="Q80" si="56">N15</f>
        <v>35072</v>
      </c>
      <c r="R80" s="70">
        <v>0</v>
      </c>
      <c r="S80" s="71">
        <f t="shared" si="44"/>
        <v>35072</v>
      </c>
      <c r="T80" s="71">
        <f t="shared" si="45"/>
        <v>70144</v>
      </c>
      <c r="U80" s="71">
        <f t="shared" si="46"/>
        <v>105216</v>
      </c>
      <c r="V80" s="71">
        <f t="shared" si="47"/>
        <v>140288</v>
      </c>
      <c r="W80" s="71">
        <f t="shared" si="48"/>
        <v>175360</v>
      </c>
      <c r="X80" s="71">
        <f t="shared" si="49"/>
        <v>210432</v>
      </c>
      <c r="Y80" s="71">
        <f t="shared" si="50"/>
        <v>245504</v>
      </c>
      <c r="Z80" s="71">
        <f t="shared" si="51"/>
        <v>280576</v>
      </c>
      <c r="AA80" s="71">
        <f t="shared" si="52"/>
        <v>315648</v>
      </c>
      <c r="AB80" s="71">
        <f t="shared" si="53"/>
        <v>350720</v>
      </c>
    </row>
  </sheetData>
  <mergeCells count="5">
    <mergeCell ref="B1:B2"/>
    <mergeCell ref="D1:F1"/>
    <mergeCell ref="H1:J1"/>
    <mergeCell ref="L1:N1"/>
    <mergeCell ref="A1:A2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1C82B-A69B-7344-8458-14DDB12C6B00}">
  <sheetPr codeName="Sheet2"/>
  <dimension ref="A1:N21"/>
  <sheetViews>
    <sheetView zoomScale="126" zoomScaleNormal="125" workbookViewId="0">
      <selection activeCell="AB80" sqref="AB80"/>
    </sheetView>
  </sheetViews>
  <sheetFormatPr baseColWidth="10" defaultColWidth="11" defaultRowHeight="16" x14ac:dyDescent="0.2"/>
  <cols>
    <col min="1" max="1" width="13.33203125" customWidth="1"/>
    <col min="2" max="2" width="10.83203125" style="73"/>
    <col min="3" max="3" width="12.5" customWidth="1"/>
    <col min="5" max="5" width="4.1640625" customWidth="1"/>
    <col min="6" max="6" width="13.1640625" customWidth="1"/>
    <col min="7" max="7" width="10.83203125" style="73"/>
    <col min="10" max="10" width="4.1640625" customWidth="1"/>
    <col min="11" max="11" width="13.33203125" customWidth="1"/>
    <col min="12" max="12" width="10.83203125" style="73"/>
  </cols>
  <sheetData>
    <row r="1" spans="1:14" x14ac:dyDescent="0.2">
      <c r="A1" s="81" t="s">
        <v>147</v>
      </c>
      <c r="B1" s="83" t="s">
        <v>149</v>
      </c>
      <c r="C1" s="81" t="s">
        <v>151</v>
      </c>
      <c r="L1"/>
    </row>
    <row r="2" spans="1:14" x14ac:dyDescent="0.2">
      <c r="A2" s="190">
        <v>43739</v>
      </c>
      <c r="B2" s="73">
        <v>0</v>
      </c>
      <c r="C2">
        <f>((travail!I7-(travail!I7*Hardware!G4))+travail!Y10+travail!Y22)</f>
        <v>1014.4</v>
      </c>
      <c r="L2"/>
    </row>
    <row r="3" spans="1:14" x14ac:dyDescent="0.2">
      <c r="L3"/>
    </row>
    <row r="4" spans="1:14" x14ac:dyDescent="0.2">
      <c r="B4" s="83"/>
      <c r="C4" s="73"/>
      <c r="L4"/>
    </row>
    <row r="5" spans="1:14" x14ac:dyDescent="0.2">
      <c r="A5" s="196">
        <f>A2</f>
        <v>43739</v>
      </c>
      <c r="B5" s="203">
        <f>B2</f>
        <v>0</v>
      </c>
      <c r="C5" s="206">
        <f>B5-C2</f>
        <v>-1014.4</v>
      </c>
      <c r="D5" s="202"/>
    </row>
    <row r="6" spans="1:14" x14ac:dyDescent="0.2">
      <c r="A6" s="198">
        <f>EDATE(A5,1)</f>
        <v>43770</v>
      </c>
      <c r="B6" s="204">
        <f>IF(travail!$I$5=1,travail!$K$49,travail!$K$49+travail!$I$54+travail!$I$55)</f>
        <v>88</v>
      </c>
      <c r="C6" s="207">
        <f>C5+B6+D6</f>
        <v>-930.62666666666667</v>
      </c>
      <c r="D6" s="199">
        <f>IF(C5&lt;0,((C5*365/12)*Hardware!$G$5)/(365*100),0)</f>
        <v>-4.2266666666666666</v>
      </c>
      <c r="F6" s="196">
        <f>EDATE(A17,1)</f>
        <v>44136</v>
      </c>
      <c r="G6" s="203">
        <f>IF(travail!$I$5=1,travail!$K$49,travail!$K$49+travail!$I$55)</f>
        <v>88</v>
      </c>
      <c r="H6" s="206">
        <f>C17+G6+I6</f>
        <v>102.24065405097478</v>
      </c>
      <c r="I6" s="197">
        <f>IF(C17&lt;0,((C17*365/12)*Hardware!$G$5)/(365*100),0)</f>
        <v>0</v>
      </c>
      <c r="K6" s="196">
        <f>EDATE(F17,1)</f>
        <v>44501</v>
      </c>
      <c r="L6" s="203">
        <f>travail!$K$49</f>
        <v>88</v>
      </c>
      <c r="M6" s="206">
        <f>H17+L6+N6</f>
        <v>1158.2406540509749</v>
      </c>
      <c r="N6" s="197">
        <f>IF(H17&lt;0,((H17*365/12)*Hardware!$G$5)/(365*100),0)</f>
        <v>0</v>
      </c>
    </row>
    <row r="7" spans="1:14" x14ac:dyDescent="0.2">
      <c r="A7" s="198">
        <f>EDATE(A6,1)</f>
        <v>43800</v>
      </c>
      <c r="B7" s="204">
        <f>IF(travail!$I$5=1,travail!$K$49,travail!$K$49+travail!$I$54+travail!$I$55)</f>
        <v>88</v>
      </c>
      <c r="C7" s="207">
        <f t="shared" ref="C7:C17" si="0">C6+B7+D7</f>
        <v>-846.50427777777782</v>
      </c>
      <c r="D7" s="199">
        <f>IF(C6&lt;0,((C6*365/12)*Hardware!$G$5)/(365*100),0)</f>
        <v>-3.8776111111111113</v>
      </c>
      <c r="F7" s="198">
        <f t="shared" ref="F7:F17" si="1">EDATE(F6,1)</f>
        <v>44166</v>
      </c>
      <c r="G7" s="204">
        <f>IF(travail!$I$5=1,travail!$K$49,travail!$K$49+travail!$I$55)</f>
        <v>88</v>
      </c>
      <c r="H7" s="207">
        <f>H6+G7+I7</f>
        <v>190.2406540509748</v>
      </c>
      <c r="I7" s="199">
        <f>IF(H6&lt;0,((H6*365/12)*Hardware!$G$5)/(365*100),0)</f>
        <v>0</v>
      </c>
      <c r="K7" s="198">
        <f t="shared" ref="K7:K12" si="2">EDATE(K6,1)</f>
        <v>44531</v>
      </c>
      <c r="L7" s="204">
        <f>travail!$K$49</f>
        <v>88</v>
      </c>
      <c r="M7" s="207">
        <f>M6+L7+N7</f>
        <v>1246.2406540509749</v>
      </c>
      <c r="N7" s="199">
        <f>IF(M6&lt;0,((M6*365/12)*Hardware!$G$5)/(365*100),0)</f>
        <v>0</v>
      </c>
    </row>
    <row r="8" spans="1:14" x14ac:dyDescent="0.2">
      <c r="A8" s="198">
        <f t="shared" ref="A8:A17" si="3">EDATE(A7,1)</f>
        <v>43831</v>
      </c>
      <c r="B8" s="204">
        <f>IF(travail!$I$5=1,travail!$K$49,travail!$K$49+travail!$I$54+travail!$I$55)</f>
        <v>88</v>
      </c>
      <c r="C8" s="207">
        <f t="shared" si="0"/>
        <v>-762.03137893518522</v>
      </c>
      <c r="D8" s="199">
        <f>IF(C7&lt;0,((C7*365/12)*Hardware!$G$5)/(365*100),0)</f>
        <v>-3.5271011574074076</v>
      </c>
      <c r="F8" s="198">
        <f t="shared" si="1"/>
        <v>44197</v>
      </c>
      <c r="G8" s="204">
        <f>IF(travail!$I$5=1,travail!$K$49,travail!$K$49+travail!$I$55)</f>
        <v>88</v>
      </c>
      <c r="H8" s="207">
        <f t="shared" ref="H8:H17" si="4">H7+G8+I8</f>
        <v>278.2406540509748</v>
      </c>
      <c r="I8" s="199">
        <f>IF(H7&lt;0,((H7*365/12)*Hardware!$G$5)/(365*100),0)</f>
        <v>0</v>
      </c>
      <c r="K8" s="198">
        <f t="shared" si="2"/>
        <v>44562</v>
      </c>
      <c r="L8" s="204">
        <f>travail!$K$49</f>
        <v>88</v>
      </c>
      <c r="M8" s="207">
        <f t="shared" ref="M8:M17" si="5">M7+L8+N8</f>
        <v>1334.2406540509749</v>
      </c>
      <c r="N8" s="199">
        <f>IF(M7&lt;0,((M7*365/12)*Hardware!$G$5)/(365*100),0)</f>
        <v>0</v>
      </c>
    </row>
    <row r="9" spans="1:14" x14ac:dyDescent="0.2">
      <c r="A9" s="198">
        <f t="shared" si="3"/>
        <v>43862</v>
      </c>
      <c r="B9" s="204">
        <f>IF(travail!$I$5=1,travail!$K$49,travail!$K$49+travail!$I$54+travail!$I$55)</f>
        <v>88</v>
      </c>
      <c r="C9" s="207">
        <f t="shared" si="0"/>
        <v>-677.20650968074847</v>
      </c>
      <c r="D9" s="199">
        <f>IF(C8&lt;0,((C8*365/12)*Hardware!$G$5)/(365*100),0)</f>
        <v>-3.1751307455632718</v>
      </c>
      <c r="F9" s="198">
        <f t="shared" si="1"/>
        <v>44228</v>
      </c>
      <c r="G9" s="204">
        <f>IF(travail!$I$5=1,travail!$K$49,travail!$K$49+travail!$I$55)</f>
        <v>88</v>
      </c>
      <c r="H9" s="207">
        <f t="shared" si="4"/>
        <v>366.2406540509748</v>
      </c>
      <c r="I9" s="199">
        <f>IF(H8&lt;0,((H8*365/12)*Hardware!$G$5)/(365*100),0)</f>
        <v>0</v>
      </c>
      <c r="K9" s="198">
        <f t="shared" si="2"/>
        <v>44593</v>
      </c>
      <c r="L9" s="204">
        <f>travail!$K$49</f>
        <v>88</v>
      </c>
      <c r="M9" s="207">
        <f t="shared" si="5"/>
        <v>1422.2406540509749</v>
      </c>
      <c r="N9" s="199">
        <f>IF(M8&lt;0,((M8*365/12)*Hardware!$G$5)/(365*100),0)</f>
        <v>0</v>
      </c>
    </row>
    <row r="10" spans="1:14" x14ac:dyDescent="0.2">
      <c r="A10" s="198">
        <f t="shared" si="3"/>
        <v>43891</v>
      </c>
      <c r="B10" s="204">
        <f>IF(travail!$I$5=1,travail!$K$49,travail!$K$49+travail!$I$54+travail!$I$55)</f>
        <v>88</v>
      </c>
      <c r="C10" s="207">
        <f t="shared" si="0"/>
        <v>-592.02820347108491</v>
      </c>
      <c r="D10" s="199">
        <f>IF(C9&lt;0,((C9*365/12)*Hardware!$G$5)/(365*100),0)</f>
        <v>-2.8216937903364521</v>
      </c>
      <c r="F10" s="198">
        <f t="shared" si="1"/>
        <v>44256</v>
      </c>
      <c r="G10" s="204">
        <f>IF(travail!$I$5=1,travail!$K$49,travail!$K$49+travail!$I$55)</f>
        <v>88</v>
      </c>
      <c r="H10" s="207">
        <f t="shared" si="4"/>
        <v>454.2406540509748</v>
      </c>
      <c r="I10" s="199">
        <f>IF(H9&lt;0,((H9*365/12)*Hardware!$G$5)/(365*100),0)</f>
        <v>0</v>
      </c>
      <c r="K10" s="198">
        <f t="shared" si="2"/>
        <v>44621</v>
      </c>
      <c r="L10" s="204">
        <f>travail!$K$49</f>
        <v>88</v>
      </c>
      <c r="M10" s="207">
        <f t="shared" si="5"/>
        <v>1510.2406540509749</v>
      </c>
      <c r="N10" s="199">
        <f>IF(M9&lt;0,((M9*365/12)*Hardware!$G$5)/(365*100),0)</f>
        <v>0</v>
      </c>
    </row>
    <row r="11" spans="1:14" x14ac:dyDescent="0.2">
      <c r="A11" s="198">
        <f t="shared" si="3"/>
        <v>43922</v>
      </c>
      <c r="B11" s="204">
        <f>IF(travail!$I$5=1,travail!$K$49,travail!$K$49+travail!$I$54+travail!$I$55)</f>
        <v>88</v>
      </c>
      <c r="C11" s="207">
        <f t="shared" si="0"/>
        <v>-506.49498765221443</v>
      </c>
      <c r="D11" s="199">
        <f>IF(C10&lt;0,((C10*365/12)*Hardware!$G$5)/(365*100),0)</f>
        <v>-2.4667841811295208</v>
      </c>
      <c r="F11" s="198">
        <f t="shared" si="1"/>
        <v>44287</v>
      </c>
      <c r="G11" s="204">
        <f>IF(travail!$I$5=1,travail!$K$49,travail!$K$49+travail!$I$55)</f>
        <v>88</v>
      </c>
      <c r="H11" s="207">
        <f t="shared" si="4"/>
        <v>542.24065405097485</v>
      </c>
      <c r="I11" s="199">
        <f>IF(H10&lt;0,((H10*365/12)*Hardware!$G$5)/(365*100),0)</f>
        <v>0</v>
      </c>
      <c r="K11" s="198">
        <f t="shared" si="2"/>
        <v>44652</v>
      </c>
      <c r="L11" s="204">
        <f>travail!$K$49</f>
        <v>88</v>
      </c>
      <c r="M11" s="207">
        <f t="shared" si="5"/>
        <v>1598.2406540509749</v>
      </c>
      <c r="N11" s="199">
        <f>IF(M10&lt;0,((M10*365/12)*Hardware!$G$5)/(365*100),0)</f>
        <v>0</v>
      </c>
    </row>
    <row r="12" spans="1:14" x14ac:dyDescent="0.2">
      <c r="A12" s="198">
        <f t="shared" si="3"/>
        <v>43952</v>
      </c>
      <c r="B12" s="204">
        <f>IF(travail!$I$5=1,travail!$K$49,travail!$K$49+travail!$I$54+travail!$I$55)</f>
        <v>88</v>
      </c>
      <c r="C12" s="207">
        <f t="shared" si="0"/>
        <v>-420.60538343409866</v>
      </c>
      <c r="D12" s="199">
        <f>IF(C11&lt;0,((C11*365/12)*Hardware!$G$5)/(365*100),0)</f>
        <v>-2.1103957818842272</v>
      </c>
      <c r="F12" s="198">
        <f t="shared" si="1"/>
        <v>44317</v>
      </c>
      <c r="G12" s="204">
        <f>IF(travail!$I$5=1,travail!$K$49,travail!$K$49+travail!$I$55)</f>
        <v>88</v>
      </c>
      <c r="H12" s="207">
        <f t="shared" si="4"/>
        <v>630.24065405097485</v>
      </c>
      <c r="I12" s="199">
        <f>IF(H11&lt;0,((H11*365/12)*Hardware!$G$5)/(365*100),0)</f>
        <v>0</v>
      </c>
      <c r="K12" s="198">
        <f t="shared" si="2"/>
        <v>44682</v>
      </c>
      <c r="L12" s="204">
        <f>travail!$K$49</f>
        <v>88</v>
      </c>
      <c r="M12" s="207">
        <f t="shared" si="5"/>
        <v>1686.2406540509749</v>
      </c>
      <c r="N12" s="199">
        <f>IF(M11&lt;0,((M11*365/12)*Hardware!$G$5)/(365*100),0)</f>
        <v>0</v>
      </c>
    </row>
    <row r="13" spans="1:14" x14ac:dyDescent="0.2">
      <c r="A13" s="198">
        <f t="shared" si="3"/>
        <v>43983</v>
      </c>
      <c r="B13" s="204">
        <f>IF(travail!$I$5=1,travail!$K$49,travail!$K$49+travail!$I$54+travail!$I$55)</f>
        <v>88</v>
      </c>
      <c r="C13" s="207">
        <f t="shared" si="0"/>
        <v>-334.35790586507409</v>
      </c>
      <c r="D13" s="199">
        <f>IF(C12&lt;0,((C12*365/12)*Hardware!$G$5)/(365*100),0)</f>
        <v>-1.752522430975411</v>
      </c>
      <c r="F13" s="198">
        <f t="shared" si="1"/>
        <v>44348</v>
      </c>
      <c r="G13" s="204">
        <f>IF(travail!$I$5=1,travail!$K$49,travail!$K$49+travail!$I$55)</f>
        <v>88</v>
      </c>
      <c r="H13" s="207">
        <f t="shared" si="4"/>
        <v>718.24065405097485</v>
      </c>
      <c r="I13" s="199">
        <f>IF(H12&lt;0,((H12*365/12)*Hardware!$G$5)/(365*100),0)</f>
        <v>0</v>
      </c>
      <c r="K13" s="198">
        <f t="shared" ref="K13:K17" si="6">EDATE(K12,1)</f>
        <v>44713</v>
      </c>
      <c r="L13" s="204">
        <f>travail!$K$49</f>
        <v>88</v>
      </c>
      <c r="M13" s="207">
        <f t="shared" si="5"/>
        <v>1774.2406540509749</v>
      </c>
      <c r="N13" s="199">
        <f>IF(M12&lt;0,((M12*365/12)*Hardware!$G$5)/(365*100),0)</f>
        <v>0</v>
      </c>
    </row>
    <row r="14" spans="1:14" x14ac:dyDescent="0.2">
      <c r="A14" s="198">
        <f t="shared" si="3"/>
        <v>44013</v>
      </c>
      <c r="B14" s="204">
        <f>IF(travail!$I$5=1,travail!$K$49,travail!$K$49+travail!$I$54+travail!$I$55)</f>
        <v>88</v>
      </c>
      <c r="C14" s="207">
        <f t="shared" si="0"/>
        <v>-247.75106380617856</v>
      </c>
      <c r="D14" s="199">
        <f>IF(C13&lt;0,((C13*365/12)*Hardware!$G$5)/(365*100),0)</f>
        <v>-1.3931579411044754</v>
      </c>
      <c r="F14" s="198">
        <f t="shared" si="1"/>
        <v>44378</v>
      </c>
      <c r="G14" s="204">
        <f>IF(travail!$I$5=1,travail!$K$49,travail!$K$49+travail!$I$55)</f>
        <v>88</v>
      </c>
      <c r="H14" s="207">
        <f t="shared" si="4"/>
        <v>806.24065405097485</v>
      </c>
      <c r="I14" s="199">
        <f>IF(H13&lt;0,((H13*365/12)*Hardware!$G$5)/(365*100),0)</f>
        <v>0</v>
      </c>
      <c r="K14" s="198">
        <f t="shared" si="6"/>
        <v>44743</v>
      </c>
      <c r="L14" s="204">
        <f>travail!$K$49</f>
        <v>88</v>
      </c>
      <c r="M14" s="207">
        <f t="shared" si="5"/>
        <v>1862.2406540509749</v>
      </c>
      <c r="N14" s="199">
        <f>IF(M13&lt;0,((M13*365/12)*Hardware!$G$5)/(365*100),0)</f>
        <v>0</v>
      </c>
    </row>
    <row r="15" spans="1:14" x14ac:dyDescent="0.2">
      <c r="A15" s="198">
        <f t="shared" si="3"/>
        <v>44044</v>
      </c>
      <c r="B15" s="204">
        <f>IF(travail!$I$5=1,travail!$K$49,travail!$K$49+travail!$I$54+travail!$I$55)</f>
        <v>88</v>
      </c>
      <c r="C15" s="207">
        <f t="shared" si="0"/>
        <v>-160.78335990537099</v>
      </c>
      <c r="D15" s="199">
        <f>IF(C14&lt;0,((C14*365/12)*Hardware!$G$5)/(365*100),0)</f>
        <v>-1.0322960991924106</v>
      </c>
      <c r="F15" s="198">
        <f t="shared" si="1"/>
        <v>44409</v>
      </c>
      <c r="G15" s="204">
        <f>IF(travail!$I$5=1,travail!$K$49,travail!$K$49+travail!$I$55)</f>
        <v>88</v>
      </c>
      <c r="H15" s="207">
        <f t="shared" si="4"/>
        <v>894.24065405097485</v>
      </c>
      <c r="I15" s="199">
        <f>IF(H14&lt;0,((H14*365/12)*Hardware!$G$5)/(365*100),0)</f>
        <v>0</v>
      </c>
      <c r="K15" s="198">
        <f t="shared" si="6"/>
        <v>44774</v>
      </c>
      <c r="L15" s="204">
        <f>travail!$K$49</f>
        <v>88</v>
      </c>
      <c r="M15" s="207">
        <f t="shared" si="5"/>
        <v>1950.2406540509749</v>
      </c>
      <c r="N15" s="199">
        <f>IF(M14&lt;0,((M14*365/12)*Hardware!$G$5)/(365*100),0)</f>
        <v>0</v>
      </c>
    </row>
    <row r="16" spans="1:14" x14ac:dyDescent="0.2">
      <c r="A16" s="198">
        <f t="shared" si="3"/>
        <v>44075</v>
      </c>
      <c r="B16" s="204">
        <f>IF(travail!$I$5=1,travail!$K$49,travail!$K$49+travail!$I$54+travail!$I$55)</f>
        <v>88</v>
      </c>
      <c r="C16" s="207">
        <f t="shared" si="0"/>
        <v>-73.453290571643365</v>
      </c>
      <c r="D16" s="199">
        <f>IF(C15&lt;0,((C15*365/12)*Hardware!$G$5)/(365*100),0)</f>
        <v>-0.66993066627237907</v>
      </c>
      <c r="F16" s="198">
        <f t="shared" si="1"/>
        <v>44440</v>
      </c>
      <c r="G16" s="204">
        <f>IF(travail!$I$5=1,travail!$K$49,travail!$K$49+travail!$I$55)</f>
        <v>88</v>
      </c>
      <c r="H16" s="207">
        <f t="shared" si="4"/>
        <v>982.24065405097485</v>
      </c>
      <c r="I16" s="199">
        <f>IF(H15&lt;0,((H15*365/12)*Hardware!$G$5)/(365*100),0)</f>
        <v>0</v>
      </c>
      <c r="K16" s="198">
        <f t="shared" si="6"/>
        <v>44805</v>
      </c>
      <c r="L16" s="204">
        <f>travail!$K$49</f>
        <v>88</v>
      </c>
      <c r="M16" s="207">
        <f t="shared" si="5"/>
        <v>2038.2406540509749</v>
      </c>
      <c r="N16" s="199">
        <f>IF(M15&lt;0,((M15*365/12)*Hardware!$G$5)/(365*100),0)</f>
        <v>0</v>
      </c>
    </row>
    <row r="17" spans="1:14" x14ac:dyDescent="0.2">
      <c r="A17" s="200">
        <f t="shared" si="3"/>
        <v>44105</v>
      </c>
      <c r="B17" s="205">
        <f>IF(travail!$I$5=1,travail!$K$49,travail!$K$49+travail!$I$54+travail!$I$55)</f>
        <v>88</v>
      </c>
      <c r="C17" s="208">
        <f t="shared" si="0"/>
        <v>14.240654050974788</v>
      </c>
      <c r="D17" s="201">
        <f>IF(C16&lt;0,((C16*365/12)*Hardware!$G$5)/(365*100),0)</f>
        <v>-0.30605537738184735</v>
      </c>
      <c r="F17" s="200">
        <f t="shared" si="1"/>
        <v>44470</v>
      </c>
      <c r="G17" s="205">
        <f>IF(travail!$I$5=1,travail!$K$49,travail!$K$49+travail!$I$55)</f>
        <v>88</v>
      </c>
      <c r="H17" s="208">
        <f t="shared" si="4"/>
        <v>1070.2406540509749</v>
      </c>
      <c r="I17" s="201">
        <f>IF(H16&lt;0,((H16*365/12)*Hardware!$G$5)/(365*100),0)</f>
        <v>0</v>
      </c>
      <c r="K17" s="200">
        <f t="shared" si="6"/>
        <v>44835</v>
      </c>
      <c r="L17" s="205">
        <f>travail!$K$49</f>
        <v>88</v>
      </c>
      <c r="M17" s="208">
        <f t="shared" si="5"/>
        <v>2126.2406540509746</v>
      </c>
      <c r="N17" s="201">
        <f>IF(M16&lt;0,((M16*365/12)*Hardware!$G$5)/(365*100),0)</f>
        <v>0</v>
      </c>
    </row>
    <row r="21" spans="1:14" x14ac:dyDescent="0.2">
      <c r="F21" s="73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24197-AEA8-9E41-ADBD-BB7C602BE8FD}">
  <sheetPr codeName="Sheet4"/>
  <dimension ref="A1:L34"/>
  <sheetViews>
    <sheetView zoomScale="125" zoomScaleNormal="125" workbookViewId="0">
      <selection activeCell="B40" sqref="B40"/>
    </sheetView>
  </sheetViews>
  <sheetFormatPr baseColWidth="10" defaultColWidth="11" defaultRowHeight="16" x14ac:dyDescent="0.2"/>
  <cols>
    <col min="1" max="1" width="15.33203125" bestFit="1" customWidth="1"/>
    <col min="2" max="2" width="58.33203125" bestFit="1" customWidth="1"/>
    <col min="3" max="3" width="8.5" style="73" bestFit="1" customWidth="1"/>
    <col min="4" max="4" width="8.1640625" style="73" bestFit="1" customWidth="1"/>
    <col min="12" max="12" width="11" style="81"/>
  </cols>
  <sheetData>
    <row r="1" spans="1:11" x14ac:dyDescent="0.2">
      <c r="A1" s="82" t="s">
        <v>104</v>
      </c>
      <c r="B1" s="82" t="s">
        <v>27</v>
      </c>
      <c r="C1" s="83" t="s">
        <v>74</v>
      </c>
      <c r="D1" s="83" t="s">
        <v>75</v>
      </c>
      <c r="F1" s="64" t="s">
        <v>112</v>
      </c>
      <c r="G1" s="129">
        <v>0.7</v>
      </c>
      <c r="H1" s="64"/>
      <c r="I1" s="157" t="s">
        <v>141</v>
      </c>
      <c r="J1" s="159">
        <v>20</v>
      </c>
    </row>
    <row r="2" spans="1:11" x14ac:dyDescent="0.2">
      <c r="A2" t="s">
        <v>65</v>
      </c>
      <c r="B2" t="s">
        <v>66</v>
      </c>
      <c r="C2" s="73">
        <v>55</v>
      </c>
      <c r="D2" s="74">
        <f>C2/$G$1</f>
        <v>78.571428571428569</v>
      </c>
      <c r="F2" s="64" t="s">
        <v>111</v>
      </c>
      <c r="G2" s="129">
        <v>350</v>
      </c>
      <c r="H2" s="64"/>
      <c r="I2" s="64"/>
    </row>
    <row r="3" spans="1:11" x14ac:dyDescent="0.2">
      <c r="A3" t="s">
        <v>67</v>
      </c>
      <c r="B3" t="s">
        <v>68</v>
      </c>
      <c r="C3" s="73">
        <v>10</v>
      </c>
      <c r="D3" s="74">
        <f>C3/$G$1</f>
        <v>14.285714285714286</v>
      </c>
      <c r="F3" s="64" t="s">
        <v>128</v>
      </c>
      <c r="G3" s="145">
        <v>0.15</v>
      </c>
      <c r="H3" s="64"/>
      <c r="I3" s="64"/>
    </row>
    <row r="4" spans="1:11" x14ac:dyDescent="0.2">
      <c r="A4" t="s">
        <v>69</v>
      </c>
      <c r="B4" t="s">
        <v>70</v>
      </c>
      <c r="C4" s="73">
        <v>20</v>
      </c>
      <c r="D4" s="74">
        <f>C4/$G$1</f>
        <v>28.571428571428573</v>
      </c>
      <c r="F4" s="64" t="s">
        <v>144</v>
      </c>
      <c r="G4" s="145">
        <v>0.15</v>
      </c>
      <c r="H4" s="64"/>
      <c r="I4" s="131"/>
      <c r="J4" s="158"/>
    </row>
    <row r="5" spans="1:11" x14ac:dyDescent="0.2">
      <c r="A5" t="s">
        <v>72</v>
      </c>
      <c r="B5" t="s">
        <v>71</v>
      </c>
      <c r="C5" s="73">
        <v>25</v>
      </c>
      <c r="D5" s="74">
        <f>C5/$G$1</f>
        <v>35.714285714285715</v>
      </c>
      <c r="F5" s="72" t="s">
        <v>148</v>
      </c>
      <c r="G5" s="195">
        <v>5</v>
      </c>
      <c r="H5" s="194" t="s">
        <v>152</v>
      </c>
    </row>
    <row r="6" spans="1:11" x14ac:dyDescent="0.2">
      <c r="C6" s="85">
        <f>SUM(C1:C5)</f>
        <v>110</v>
      </c>
      <c r="D6" s="85">
        <f>SUM(D2:D5)</f>
        <v>157.14285714285714</v>
      </c>
      <c r="F6" s="72" t="s">
        <v>215</v>
      </c>
      <c r="G6" s="280">
        <v>2.5</v>
      </c>
    </row>
    <row r="7" spans="1:11" ht="17" thickBot="1" x14ac:dyDescent="0.25">
      <c r="C7" s="85"/>
      <c r="D7" s="85"/>
    </row>
    <row r="8" spans="1:11" x14ac:dyDescent="0.2">
      <c r="A8" s="105"/>
      <c r="B8" s="132" t="s">
        <v>122</v>
      </c>
      <c r="C8" s="155">
        <f>G3</f>
        <v>0.15</v>
      </c>
      <c r="D8" s="107"/>
      <c r="E8" s="266"/>
      <c r="F8" s="108"/>
      <c r="G8" s="156"/>
      <c r="H8" s="383" t="s">
        <v>120</v>
      </c>
      <c r="I8" s="383"/>
      <c r="J8" s="386" t="s">
        <v>123</v>
      </c>
      <c r="K8" s="387"/>
    </row>
    <row r="9" spans="1:11" x14ac:dyDescent="0.2">
      <c r="A9" s="109" t="s">
        <v>104</v>
      </c>
      <c r="B9" s="110" t="s">
        <v>27</v>
      </c>
      <c r="C9" s="111" t="s">
        <v>74</v>
      </c>
      <c r="D9" s="111" t="s">
        <v>75</v>
      </c>
      <c r="E9" s="112" t="s">
        <v>76</v>
      </c>
      <c r="F9" s="112" t="s">
        <v>77</v>
      </c>
      <c r="G9" s="112" t="s">
        <v>78</v>
      </c>
      <c r="H9" s="112" t="s">
        <v>77</v>
      </c>
      <c r="I9" s="112" t="s">
        <v>78</v>
      </c>
      <c r="J9" s="154" t="s">
        <v>124</v>
      </c>
      <c r="K9" s="136" t="s">
        <v>125</v>
      </c>
    </row>
    <row r="10" spans="1:11" x14ac:dyDescent="0.2">
      <c r="A10" s="114" t="s">
        <v>51</v>
      </c>
      <c r="B10" s="64" t="s">
        <v>51</v>
      </c>
      <c r="C10" s="115">
        <v>0</v>
      </c>
      <c r="D10" s="127">
        <v>0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313">
        <v>0</v>
      </c>
    </row>
    <row r="11" spans="1:11" x14ac:dyDescent="0.2">
      <c r="A11" s="118" t="s">
        <v>65</v>
      </c>
      <c r="B11" s="64" t="s">
        <v>101</v>
      </c>
      <c r="C11" s="116">
        <f>C6</f>
        <v>110</v>
      </c>
      <c r="D11" s="116">
        <f>ROUND(C11/$G$1,0)</f>
        <v>157</v>
      </c>
      <c r="E11" s="115">
        <v>100</v>
      </c>
      <c r="F11" s="341">
        <v>10</v>
      </c>
      <c r="G11" s="116">
        <f>F11*12</f>
        <v>120</v>
      </c>
      <c r="H11" s="116">
        <f>ROUND(F11+(F11*$C$8),0)</f>
        <v>12</v>
      </c>
      <c r="I11" s="116">
        <f>H11*12</f>
        <v>144</v>
      </c>
      <c r="J11" s="116">
        <f>H11-F11</f>
        <v>2</v>
      </c>
      <c r="K11" s="117">
        <f>J11*12</f>
        <v>24</v>
      </c>
    </row>
    <row r="12" spans="1:11" x14ac:dyDescent="0.2">
      <c r="A12" s="114" t="s">
        <v>248</v>
      </c>
      <c r="B12" s="64" t="s">
        <v>250</v>
      </c>
      <c r="C12" s="73">
        <v>129.09</v>
      </c>
      <c r="D12" s="116">
        <f t="shared" ref="D12:D14" si="0">ROUND(C12/$G$1,0)</f>
        <v>184</v>
      </c>
      <c r="E12" s="115">
        <v>80</v>
      </c>
      <c r="F12" s="116">
        <f t="shared" ref="F12:F19" si="1">VLOOKUP(C12,PrixMaint,2)</f>
        <v>5</v>
      </c>
      <c r="G12" s="116">
        <f t="shared" ref="G12:G14" si="2">F12*12</f>
        <v>60</v>
      </c>
      <c r="H12" s="116">
        <f t="shared" ref="H12:H14" si="3">ROUND(F12+(F12*$C$8),0)</f>
        <v>6</v>
      </c>
      <c r="I12" s="116">
        <f t="shared" ref="I12:I14" si="4">H12*12</f>
        <v>72</v>
      </c>
      <c r="J12" s="116">
        <f t="shared" ref="J12:J14" si="5">H12-F12</f>
        <v>1</v>
      </c>
      <c r="K12" s="117">
        <f t="shared" ref="K12:K14" si="6">J12*12</f>
        <v>12</v>
      </c>
    </row>
    <row r="13" spans="1:11" x14ac:dyDescent="0.2">
      <c r="A13" s="72"/>
      <c r="B13" s="64" t="s">
        <v>249</v>
      </c>
      <c r="C13" s="73">
        <v>266.56</v>
      </c>
      <c r="D13" s="116">
        <f t="shared" si="0"/>
        <v>381</v>
      </c>
      <c r="E13" s="115">
        <v>90</v>
      </c>
      <c r="F13" s="116">
        <f t="shared" si="1"/>
        <v>8</v>
      </c>
      <c r="G13" s="116">
        <f t="shared" si="2"/>
        <v>96</v>
      </c>
      <c r="H13" s="116">
        <f t="shared" si="3"/>
        <v>9</v>
      </c>
      <c r="I13" s="116">
        <f t="shared" si="4"/>
        <v>108</v>
      </c>
      <c r="J13" s="116">
        <f t="shared" si="5"/>
        <v>1</v>
      </c>
      <c r="K13" s="117">
        <f t="shared" si="6"/>
        <v>12</v>
      </c>
    </row>
    <row r="14" spans="1:11" x14ac:dyDescent="0.2">
      <c r="A14" s="72"/>
      <c r="B14" t="s">
        <v>308</v>
      </c>
      <c r="C14" s="73">
        <v>267.02999999999997</v>
      </c>
      <c r="D14" s="116">
        <f t="shared" si="0"/>
        <v>381</v>
      </c>
      <c r="E14" s="115">
        <v>100</v>
      </c>
      <c r="F14" s="116">
        <f t="shared" si="1"/>
        <v>8</v>
      </c>
      <c r="G14" s="116">
        <f t="shared" si="2"/>
        <v>96</v>
      </c>
      <c r="H14" s="116">
        <f t="shared" si="3"/>
        <v>9</v>
      </c>
      <c r="I14" s="116">
        <f t="shared" si="4"/>
        <v>108</v>
      </c>
      <c r="J14" s="116">
        <f t="shared" si="5"/>
        <v>1</v>
      </c>
      <c r="K14" s="117">
        <f t="shared" si="6"/>
        <v>12</v>
      </c>
    </row>
    <row r="15" spans="1:11" x14ac:dyDescent="0.2">
      <c r="A15" s="114"/>
      <c r="B15" s="64" t="s">
        <v>278</v>
      </c>
      <c r="C15" s="115">
        <v>0</v>
      </c>
      <c r="D15" s="116">
        <f>ROUND(C15/$G$1,0)</f>
        <v>0</v>
      </c>
      <c r="E15" s="115">
        <v>250</v>
      </c>
      <c r="F15" s="341">
        <v>10</v>
      </c>
      <c r="G15" s="116">
        <f>F15*12</f>
        <v>120</v>
      </c>
      <c r="H15" s="116">
        <f>ROUND(F15+(F15*$C$8),0)</f>
        <v>12</v>
      </c>
      <c r="I15" s="116">
        <f>H15*12</f>
        <v>144</v>
      </c>
      <c r="J15" s="116">
        <f>H15-F15</f>
        <v>2</v>
      </c>
      <c r="K15" s="117">
        <f>J15*12</f>
        <v>24</v>
      </c>
    </row>
    <row r="16" spans="1:11" x14ac:dyDescent="0.2">
      <c r="A16" s="114" t="s">
        <v>99</v>
      </c>
      <c r="B16" s="64" t="s">
        <v>103</v>
      </c>
      <c r="C16" s="115">
        <v>77.88</v>
      </c>
      <c r="D16" s="116">
        <f>ROUND(C16/$G$1,0)</f>
        <v>111</v>
      </c>
      <c r="E16" s="115">
        <v>80</v>
      </c>
      <c r="F16" s="116">
        <f t="shared" si="1"/>
        <v>4</v>
      </c>
      <c r="G16" s="116">
        <f>F16*12</f>
        <v>48</v>
      </c>
      <c r="H16" s="116">
        <f>ROUND(F16+(F16*$C$8),0)</f>
        <v>5</v>
      </c>
      <c r="I16" s="116">
        <f>H16*12</f>
        <v>60</v>
      </c>
      <c r="J16" s="116">
        <f>H16-F16</f>
        <v>1</v>
      </c>
      <c r="K16" s="117">
        <f>J16*12</f>
        <v>12</v>
      </c>
    </row>
    <row r="17" spans="1:11" x14ac:dyDescent="0.2">
      <c r="A17" s="114" t="s">
        <v>98</v>
      </c>
      <c r="B17" s="64" t="s">
        <v>102</v>
      </c>
      <c r="C17" s="115">
        <v>138.96</v>
      </c>
      <c r="D17" s="116">
        <f>ROUND(C17/$G$1,0)</f>
        <v>199</v>
      </c>
      <c r="E17" s="115">
        <v>90</v>
      </c>
      <c r="F17" s="116">
        <f t="shared" si="1"/>
        <v>5</v>
      </c>
      <c r="G17" s="116">
        <f>F17*12</f>
        <v>60</v>
      </c>
      <c r="H17" s="116">
        <f>ROUND(F17+(F17*$C$8),0)</f>
        <v>6</v>
      </c>
      <c r="I17" s="116">
        <f>H17*12</f>
        <v>72</v>
      </c>
      <c r="J17" s="116">
        <f>H17-F17</f>
        <v>1</v>
      </c>
      <c r="K17" s="117">
        <f>J17*12</f>
        <v>12</v>
      </c>
    </row>
    <row r="18" spans="1:11" x14ac:dyDescent="0.2">
      <c r="A18" s="114" t="s">
        <v>105</v>
      </c>
      <c r="B18" s="64" t="s">
        <v>106</v>
      </c>
      <c r="C18" s="115">
        <v>228.18</v>
      </c>
      <c r="D18" s="116">
        <f>ROUND(C18/$G$1,0)</f>
        <v>326</v>
      </c>
      <c r="E18" s="115">
        <v>100</v>
      </c>
      <c r="F18" s="116">
        <f t="shared" si="1"/>
        <v>7</v>
      </c>
      <c r="G18" s="116">
        <f>F18*12</f>
        <v>84</v>
      </c>
      <c r="H18" s="116">
        <f>ROUND(F18+(F18*$C$8),0)</f>
        <v>8</v>
      </c>
      <c r="I18" s="116">
        <f>H18*12</f>
        <v>96</v>
      </c>
      <c r="J18" s="116">
        <f>H18-F18</f>
        <v>1</v>
      </c>
      <c r="K18" s="117">
        <f>J18*12</f>
        <v>12</v>
      </c>
    </row>
    <row r="19" spans="1:11" x14ac:dyDescent="0.2">
      <c r="A19" s="118" t="s">
        <v>73</v>
      </c>
      <c r="B19" s="64" t="s">
        <v>100</v>
      </c>
      <c r="C19" s="115">
        <v>11.08</v>
      </c>
      <c r="D19" s="116">
        <f t="shared" ref="D19" si="7">ROUND(C19/$G$1,0)</f>
        <v>16</v>
      </c>
      <c r="E19" s="115">
        <v>25</v>
      </c>
      <c r="F19" s="116">
        <f t="shared" si="1"/>
        <v>4</v>
      </c>
      <c r="G19" s="116">
        <f>F19*12</f>
        <v>48</v>
      </c>
      <c r="H19" s="116">
        <f>ROUND(F19+(F19*$C$8),0)</f>
        <v>5</v>
      </c>
      <c r="I19" s="116">
        <f>H19*12</f>
        <v>60</v>
      </c>
      <c r="J19" s="116">
        <f>H19-F19</f>
        <v>1</v>
      </c>
      <c r="K19" s="117">
        <f>J19*12</f>
        <v>12</v>
      </c>
    </row>
    <row r="20" spans="1:11" x14ac:dyDescent="0.2">
      <c r="A20" s="118"/>
      <c r="B20" s="64" t="s">
        <v>116</v>
      </c>
      <c r="C20" s="127">
        <v>0</v>
      </c>
      <c r="D20" s="127">
        <v>0</v>
      </c>
      <c r="E20" s="127">
        <v>25</v>
      </c>
      <c r="F20" s="127">
        <v>9</v>
      </c>
      <c r="G20" s="116">
        <f t="shared" ref="G20:G21" si="8">F20*12</f>
        <v>108</v>
      </c>
      <c r="H20" s="116">
        <f t="shared" ref="H20:H21" si="9">ROUND(F20+(F20*$C$8),0)</f>
        <v>10</v>
      </c>
      <c r="I20" s="116">
        <f t="shared" ref="I20:I21" si="10">H20*12</f>
        <v>120</v>
      </c>
      <c r="J20" s="116">
        <f t="shared" ref="J20:J21" si="11">H20-F20</f>
        <v>1</v>
      </c>
      <c r="K20" s="117">
        <f t="shared" ref="K20:K21" si="12">J20*12</f>
        <v>12</v>
      </c>
    </row>
    <row r="21" spans="1:11" ht="17" thickBot="1" x14ac:dyDescent="0.25">
      <c r="A21" s="119"/>
      <c r="B21" s="120" t="s">
        <v>142</v>
      </c>
      <c r="C21" s="121">
        <v>0</v>
      </c>
      <c r="D21" s="121">
        <v>0</v>
      </c>
      <c r="E21" s="125">
        <f>G2/2</f>
        <v>175</v>
      </c>
      <c r="F21" s="121">
        <v>9</v>
      </c>
      <c r="G21" s="125">
        <f t="shared" si="8"/>
        <v>108</v>
      </c>
      <c r="H21" s="125">
        <f t="shared" si="9"/>
        <v>10</v>
      </c>
      <c r="I21" s="125">
        <f t="shared" si="10"/>
        <v>120</v>
      </c>
      <c r="J21" s="125">
        <f t="shared" si="11"/>
        <v>1</v>
      </c>
      <c r="K21" s="122">
        <f t="shared" si="12"/>
        <v>12</v>
      </c>
    </row>
    <row r="25" spans="1:11" ht="17" thickBot="1" x14ac:dyDescent="0.25">
      <c r="F25" s="73"/>
      <c r="G25" s="73"/>
    </row>
    <row r="26" spans="1:11" ht="17" thickBot="1" x14ac:dyDescent="0.25">
      <c r="A26" s="105"/>
      <c r="B26" s="132" t="s">
        <v>122</v>
      </c>
      <c r="C26" s="133">
        <f>G3</f>
        <v>0.15</v>
      </c>
      <c r="D26" s="123"/>
      <c r="E26" s="106"/>
      <c r="F26" s="108"/>
      <c r="G26" s="156"/>
      <c r="H26" s="384" t="s">
        <v>120</v>
      </c>
      <c r="I26" s="385"/>
      <c r="J26" s="386" t="s">
        <v>123</v>
      </c>
      <c r="K26" s="387"/>
    </row>
    <row r="27" spans="1:11" x14ac:dyDescent="0.2">
      <c r="A27" s="109" t="s">
        <v>104</v>
      </c>
      <c r="B27" s="110" t="s">
        <v>27</v>
      </c>
      <c r="C27" s="111"/>
      <c r="D27" s="111"/>
      <c r="E27" s="112" t="s">
        <v>76</v>
      </c>
      <c r="F27" s="112" t="s">
        <v>77</v>
      </c>
      <c r="G27" s="112" t="s">
        <v>78</v>
      </c>
      <c r="H27" s="134" t="s">
        <v>77</v>
      </c>
      <c r="I27" s="113" t="s">
        <v>78</v>
      </c>
      <c r="J27" s="154" t="s">
        <v>124</v>
      </c>
      <c r="K27" s="136" t="s">
        <v>125</v>
      </c>
    </row>
    <row r="28" spans="1:11" x14ac:dyDescent="0.2">
      <c r="A28" s="118"/>
      <c r="B28" s="64" t="s">
        <v>51</v>
      </c>
      <c r="C28" s="115"/>
      <c r="D28" s="116"/>
      <c r="E28" s="115">
        <v>0</v>
      </c>
      <c r="F28" s="127">
        <v>0</v>
      </c>
      <c r="G28" s="116">
        <f t="shared" ref="G28:G34" si="13">F28*12</f>
        <v>0</v>
      </c>
      <c r="H28" s="118">
        <v>0</v>
      </c>
      <c r="I28" s="117">
        <f t="shared" ref="I28:I32" si="14">H28*12</f>
        <v>0</v>
      </c>
      <c r="J28" s="116">
        <f t="shared" ref="J28:J32" si="15">H28-F28</f>
        <v>0</v>
      </c>
      <c r="K28" s="117">
        <f t="shared" ref="K28:K32" si="16">J28*12</f>
        <v>0</v>
      </c>
    </row>
    <row r="29" spans="1:11" x14ac:dyDescent="0.2">
      <c r="A29" s="118"/>
      <c r="B29" s="64" t="s">
        <v>117</v>
      </c>
      <c r="C29" s="115"/>
      <c r="D29" s="116"/>
      <c r="E29" s="115">
        <v>5</v>
      </c>
      <c r="F29" s="127">
        <v>2</v>
      </c>
      <c r="G29" s="116">
        <f t="shared" si="13"/>
        <v>24</v>
      </c>
      <c r="H29" s="135">
        <f>F29+(F29*$C$26)</f>
        <v>2.2999999999999998</v>
      </c>
      <c r="I29" s="117">
        <f t="shared" si="14"/>
        <v>27.599999999999998</v>
      </c>
      <c r="J29" s="116">
        <f t="shared" si="15"/>
        <v>0.29999999999999982</v>
      </c>
      <c r="K29" s="117">
        <f t="shared" si="16"/>
        <v>3.5999999999999979</v>
      </c>
    </row>
    <row r="30" spans="1:11" x14ac:dyDescent="0.2">
      <c r="A30" s="118"/>
      <c r="B30" s="64" t="s">
        <v>217</v>
      </c>
      <c r="C30" s="115"/>
      <c r="D30" s="115"/>
      <c r="E30" s="115">
        <v>10</v>
      </c>
      <c r="F30" s="115">
        <v>3</v>
      </c>
      <c r="G30" s="116">
        <f>F30*12</f>
        <v>36</v>
      </c>
      <c r="H30" s="135">
        <f>F30+(F30*$C$26)</f>
        <v>3.45</v>
      </c>
      <c r="I30" s="117">
        <f>H30*12</f>
        <v>41.400000000000006</v>
      </c>
      <c r="J30" s="116">
        <f>H30-F30</f>
        <v>0.45000000000000018</v>
      </c>
      <c r="K30" s="117">
        <f>J30*12</f>
        <v>5.4000000000000021</v>
      </c>
    </row>
    <row r="31" spans="1:11" x14ac:dyDescent="0.2">
      <c r="A31" s="118"/>
      <c r="B31" s="64" t="s">
        <v>118</v>
      </c>
      <c r="C31" s="115"/>
      <c r="D31" s="116"/>
      <c r="E31" s="115">
        <v>15</v>
      </c>
      <c r="F31" s="127">
        <v>3</v>
      </c>
      <c r="G31" s="116">
        <f t="shared" si="13"/>
        <v>36</v>
      </c>
      <c r="H31" s="135">
        <f t="shared" ref="H31:H32" si="17">F31+(F31*$C$26)</f>
        <v>3.45</v>
      </c>
      <c r="I31" s="117">
        <f t="shared" si="14"/>
        <v>41.400000000000006</v>
      </c>
      <c r="J31" s="116">
        <f t="shared" si="15"/>
        <v>0.45000000000000018</v>
      </c>
      <c r="K31" s="117">
        <f t="shared" si="16"/>
        <v>5.4000000000000021</v>
      </c>
    </row>
    <row r="32" spans="1:11" x14ac:dyDescent="0.2">
      <c r="A32" s="118"/>
      <c r="B32" s="64" t="s">
        <v>154</v>
      </c>
      <c r="C32" s="115"/>
      <c r="D32" s="116"/>
      <c r="E32" s="115">
        <v>25</v>
      </c>
      <c r="F32" s="127">
        <v>6</v>
      </c>
      <c r="G32" s="116">
        <f t="shared" si="13"/>
        <v>72</v>
      </c>
      <c r="H32" s="135">
        <f t="shared" si="17"/>
        <v>6.9</v>
      </c>
      <c r="I32" s="117">
        <f t="shared" si="14"/>
        <v>82.800000000000011</v>
      </c>
      <c r="J32" s="116">
        <f t="shared" si="15"/>
        <v>0.90000000000000036</v>
      </c>
      <c r="K32" s="117">
        <f t="shared" si="16"/>
        <v>10.800000000000004</v>
      </c>
    </row>
    <row r="33" spans="1:11" x14ac:dyDescent="0.2">
      <c r="A33" s="118"/>
      <c r="B33" s="72" t="s">
        <v>211</v>
      </c>
      <c r="C33" s="115"/>
      <c r="D33" s="115"/>
      <c r="E33" s="290">
        <v>25</v>
      </c>
      <c r="F33" s="291">
        <v>6</v>
      </c>
      <c r="G33" s="116">
        <f t="shared" si="13"/>
        <v>72</v>
      </c>
      <c r="H33" s="135">
        <f t="shared" ref="H33:H34" si="18">F33+(F33*$C$26)</f>
        <v>6.9</v>
      </c>
      <c r="I33" s="117">
        <f t="shared" ref="I33:I34" si="19">H33*12</f>
        <v>82.800000000000011</v>
      </c>
      <c r="J33" s="116">
        <f t="shared" ref="J33:J34" si="20">H33-F33</f>
        <v>0.90000000000000036</v>
      </c>
      <c r="K33" s="117">
        <f t="shared" ref="K33:K34" si="21">J33*12</f>
        <v>10.800000000000004</v>
      </c>
    </row>
    <row r="34" spans="1:11" ht="17" thickBot="1" x14ac:dyDescent="0.25">
      <c r="A34" s="119"/>
      <c r="B34" s="298" t="s">
        <v>270</v>
      </c>
      <c r="C34" s="124"/>
      <c r="D34" s="124"/>
      <c r="E34" s="299">
        <v>50</v>
      </c>
      <c r="F34" s="300">
        <v>3</v>
      </c>
      <c r="G34" s="301">
        <f t="shared" si="13"/>
        <v>36</v>
      </c>
      <c r="H34" s="303">
        <f t="shared" si="18"/>
        <v>3.45</v>
      </c>
      <c r="I34" s="302">
        <f t="shared" si="19"/>
        <v>41.400000000000006</v>
      </c>
      <c r="J34" s="301">
        <f t="shared" si="20"/>
        <v>0.45000000000000018</v>
      </c>
      <c r="K34" s="302">
        <f t="shared" si="21"/>
        <v>5.4000000000000021</v>
      </c>
    </row>
  </sheetData>
  <mergeCells count="4">
    <mergeCell ref="H8:I8"/>
    <mergeCell ref="H26:I26"/>
    <mergeCell ref="J8:K8"/>
    <mergeCell ref="J26:K26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3F44-BF48-1945-ACBB-4B3F0A81A505}">
  <sheetPr codeName="Sheet6"/>
  <dimension ref="A1:Z125"/>
  <sheetViews>
    <sheetView zoomScaleNormal="100" workbookViewId="0">
      <pane ySplit="2" topLeftCell="A20" activePane="bottomLeft" state="frozen"/>
      <selection activeCell="AB80" sqref="AB80"/>
      <selection pane="bottomLeft" activeCell="A94" sqref="A94"/>
    </sheetView>
  </sheetViews>
  <sheetFormatPr baseColWidth="10" defaultColWidth="10.83203125" defaultRowHeight="16" x14ac:dyDescent="0.2"/>
  <cols>
    <col min="1" max="1" width="10.83203125" style="75"/>
    <col min="2" max="2" width="4.5" style="215" bestFit="1" customWidth="1"/>
    <col min="3" max="3" width="22.33203125" style="75" bestFit="1" customWidth="1"/>
    <col min="4" max="4" width="10.83203125" style="76"/>
    <col min="5" max="5" width="10.83203125" style="77"/>
    <col min="6" max="6" width="10.83203125" style="76"/>
    <col min="7" max="7" width="10.83203125" style="75"/>
    <col min="8" max="14" width="10.83203125" style="75" customWidth="1"/>
    <col min="15" max="15" width="37.83203125" style="75" customWidth="1"/>
    <col min="16" max="16" width="45.83203125" style="75" customWidth="1"/>
    <col min="17" max="20" width="10.83203125" style="75" customWidth="1"/>
    <col min="21" max="21" width="7" style="75" bestFit="1" customWidth="1"/>
    <col min="22" max="22" width="11.1640625" style="75" bestFit="1" customWidth="1"/>
    <col min="23" max="23" width="11.6640625" style="75" bestFit="1" customWidth="1"/>
    <col min="24" max="26" width="11" customWidth="1"/>
    <col min="27" max="16384" width="10.83203125" style="75"/>
  </cols>
  <sheetData>
    <row r="1" spans="1:23" x14ac:dyDescent="0.2">
      <c r="A1" s="389" t="s">
        <v>121</v>
      </c>
      <c r="B1" s="389"/>
      <c r="C1" s="389"/>
      <c r="D1" s="223">
        <f>Hardware!G3</f>
        <v>0.15</v>
      </c>
      <c r="E1" s="222">
        <v>0.7</v>
      </c>
      <c r="G1" s="84"/>
      <c r="H1" s="221"/>
      <c r="I1" s="130"/>
      <c r="J1" s="388" t="s">
        <v>120</v>
      </c>
      <c r="K1" s="388"/>
      <c r="L1" s="388" t="s">
        <v>123</v>
      </c>
      <c r="M1" s="388"/>
      <c r="N1" s="221">
        <v>0.22500000000000001</v>
      </c>
      <c r="O1" s="295"/>
      <c r="P1" s="295"/>
      <c r="Q1" s="297">
        <v>10.6</v>
      </c>
      <c r="R1" s="84"/>
      <c r="S1" s="297">
        <v>19.3</v>
      </c>
      <c r="T1" s="84"/>
      <c r="U1" s="130"/>
      <c r="V1" s="130"/>
      <c r="W1" s="130"/>
    </row>
    <row r="2" spans="1:23" x14ac:dyDescent="0.2">
      <c r="A2" s="78" t="s">
        <v>41</v>
      </c>
      <c r="B2" s="212" t="s">
        <v>202</v>
      </c>
      <c r="C2" s="78" t="s">
        <v>42</v>
      </c>
      <c r="D2" s="79" t="s">
        <v>203</v>
      </c>
      <c r="E2" s="78" t="s">
        <v>112</v>
      </c>
      <c r="F2" s="79" t="s">
        <v>43</v>
      </c>
      <c r="G2" s="81" t="s">
        <v>234</v>
      </c>
      <c r="H2" s="81" t="s">
        <v>235</v>
      </c>
      <c r="I2" s="81" t="s">
        <v>107</v>
      </c>
      <c r="J2" s="81" t="s">
        <v>234</v>
      </c>
      <c r="K2" s="81" t="s">
        <v>235</v>
      </c>
      <c r="L2" s="78" t="s">
        <v>124</v>
      </c>
      <c r="M2" s="78" t="s">
        <v>125</v>
      </c>
      <c r="N2" s="212" t="s">
        <v>204</v>
      </c>
      <c r="O2" s="81" t="s">
        <v>223</v>
      </c>
      <c r="P2" s="81" t="s">
        <v>229</v>
      </c>
      <c r="Q2" s="81" t="s">
        <v>230</v>
      </c>
      <c r="R2" s="81" t="s">
        <v>232</v>
      </c>
      <c r="S2" s="81" t="s">
        <v>231</v>
      </c>
      <c r="T2" s="81" t="s">
        <v>233</v>
      </c>
      <c r="U2" s="79" t="s">
        <v>241</v>
      </c>
      <c r="V2" s="81" t="s">
        <v>242</v>
      </c>
      <c r="W2" s="81" t="s">
        <v>243</v>
      </c>
    </row>
    <row r="3" spans="1:23" x14ac:dyDescent="0.2">
      <c r="A3" s="75" t="s">
        <v>39</v>
      </c>
      <c r="B3" s="215">
        <v>1</v>
      </c>
      <c r="C3" s="213" t="s">
        <v>228</v>
      </c>
      <c r="D3" s="80">
        <f>ROUND(F3/$E$1,0)</f>
        <v>194</v>
      </c>
      <c r="E3" s="80">
        <f>D3-F3</f>
        <v>58.34</v>
      </c>
      <c r="F3" s="217">
        <v>135.66</v>
      </c>
      <c r="G3" s="80">
        <f t="shared" ref="G3:G34" si="0">VLOOKUP(D3,PrixMaint,2,TRUE)</f>
        <v>6</v>
      </c>
      <c r="H3" s="80">
        <f>G3*12</f>
        <v>72</v>
      </c>
      <c r="I3" s="80">
        <f>IF(N3&lt;15,15,IF(N3&lt;25,25,35))</f>
        <v>35</v>
      </c>
      <c r="J3" s="80">
        <f>G3+(G3*$D$1)</f>
        <v>6.9</v>
      </c>
      <c r="K3" s="80">
        <f>J3*12</f>
        <v>82.800000000000011</v>
      </c>
      <c r="L3" s="80">
        <f>J3-G3</f>
        <v>0.90000000000000036</v>
      </c>
      <c r="M3" s="80">
        <f>L3*12</f>
        <v>10.800000000000004</v>
      </c>
      <c r="N3" s="224">
        <f>D3*$N$1</f>
        <v>43.65</v>
      </c>
      <c r="O3" s="296" t="str">
        <f>"c:\\3cx\\"&amp;A3&amp;"\\jpg\\"&amp;C3&amp;".jpg"</f>
        <v>c:\\3cx\\Snom\\jpg\\D785.jpg</v>
      </c>
      <c r="P3" s="296" t="str">
        <f>"https://lvoip.lu/3cx/"&amp;A3&amp;"/pdf/"&amp;C3&amp;".pdf"</f>
        <v>https://lvoip.lu/3cx/Snom/pdf/D785.pdf</v>
      </c>
      <c r="Q3" s="80">
        <f>ROUND(Phones!D3/$Q$1,0)</f>
        <v>18</v>
      </c>
      <c r="R3" s="80">
        <f>Q3*12</f>
        <v>216</v>
      </c>
      <c r="S3" s="80">
        <f>ROUND(Phones!D3/$S$1,0)</f>
        <v>10</v>
      </c>
      <c r="T3" s="80">
        <f>S3*24</f>
        <v>240</v>
      </c>
      <c r="U3" s="80" t="str">
        <f>TEXT(D3,"# ##0.00")</f>
        <v xml:space="preserve"> 194</v>
      </c>
      <c r="V3" s="80" t="str">
        <f>TEXT(G3,"# ##0.00")</f>
        <v xml:space="preserve"> 006</v>
      </c>
      <c r="W3" s="80" t="str">
        <f>TEXT(I3,"# ##0.00")</f>
        <v xml:space="preserve"> 035</v>
      </c>
    </row>
    <row r="4" spans="1:23" x14ac:dyDescent="0.2">
      <c r="A4" s="75" t="s">
        <v>39</v>
      </c>
      <c r="B4" s="215">
        <v>2</v>
      </c>
      <c r="C4" s="213" t="s">
        <v>239</v>
      </c>
      <c r="D4" s="80">
        <f t="shared" ref="D4:D47" si="1">ROUND(F4/$E$1,0)</f>
        <v>194</v>
      </c>
      <c r="E4" s="80">
        <f t="shared" ref="E4:E47" si="2">D4-F4</f>
        <v>58.34</v>
      </c>
      <c r="F4" s="217">
        <v>135.66</v>
      </c>
      <c r="G4" s="80">
        <f t="shared" si="0"/>
        <v>6</v>
      </c>
      <c r="H4" s="80">
        <f t="shared" ref="H4:H47" si="3">G4*12</f>
        <v>72</v>
      </c>
      <c r="I4" s="80">
        <f t="shared" ref="I4:I47" si="4">IF(N4&lt;15,15,IF(N4&lt;25,25,35))</f>
        <v>35</v>
      </c>
      <c r="J4" s="80">
        <f t="shared" ref="J4:J47" si="5">G4+(G4*$D$1)</f>
        <v>6.9</v>
      </c>
      <c r="K4" s="80">
        <f t="shared" ref="K4:K47" si="6">J4*12</f>
        <v>82.800000000000011</v>
      </c>
      <c r="L4" s="80">
        <f t="shared" ref="L4:L47" si="7">J4-G4</f>
        <v>0.90000000000000036</v>
      </c>
      <c r="M4" s="80">
        <f t="shared" ref="M4:M47" si="8">L4*12</f>
        <v>10.800000000000004</v>
      </c>
      <c r="N4" s="224">
        <f t="shared" ref="N4:N47" si="9">D4*$N$1</f>
        <v>43.65</v>
      </c>
      <c r="O4" s="296" t="str">
        <f t="shared" ref="O4:O47" si="10">"c:\\3cx\\"&amp;A4&amp;"\\jpg\\"&amp;C4&amp;".jpg"</f>
        <v>c:\\3cx\\Snom\\jpg\\D785-W.jpg</v>
      </c>
      <c r="P4" s="296" t="str">
        <f t="shared" ref="P4:P47" si="11">"https://lvoip.lu/3cx/"&amp;A4&amp;"/pdf/"&amp;C4&amp;".pdf"</f>
        <v>https://lvoip.lu/3cx/Snom/pdf/D785-W.pdf</v>
      </c>
      <c r="Q4" s="80">
        <f>ROUND(Phones!D4/$Q$1,0)</f>
        <v>18</v>
      </c>
      <c r="R4" s="80">
        <f t="shared" ref="R4:R47" si="12">Q4*12</f>
        <v>216</v>
      </c>
      <c r="S4" s="80">
        <f>ROUND(Phones!D4/$S$1,0)</f>
        <v>10</v>
      </c>
      <c r="T4" s="80">
        <f t="shared" ref="T4:T47" si="13">S4*24</f>
        <v>240</v>
      </c>
      <c r="U4" s="80" t="str">
        <f t="shared" ref="U4:U47" si="14">TEXT(D4,"# ##0.00")</f>
        <v xml:space="preserve"> 194</v>
      </c>
      <c r="V4" s="80" t="str">
        <f t="shared" ref="V4:V47" si="15">TEXT(G4,"# ##0.00")</f>
        <v xml:space="preserve"> 006</v>
      </c>
      <c r="W4" s="80" t="str">
        <f t="shared" ref="W4:W47" si="16">TEXT(I4,"# ##0.00")</f>
        <v xml:space="preserve"> 035</v>
      </c>
    </row>
    <row r="5" spans="1:23" x14ac:dyDescent="0.2">
      <c r="A5" s="75" t="s">
        <v>39</v>
      </c>
      <c r="B5" s="215">
        <v>3</v>
      </c>
      <c r="C5" s="213" t="s">
        <v>189</v>
      </c>
      <c r="D5" s="80">
        <f t="shared" si="1"/>
        <v>194</v>
      </c>
      <c r="E5" s="80">
        <f t="shared" si="2"/>
        <v>58.34</v>
      </c>
      <c r="F5" s="217">
        <v>135.66</v>
      </c>
      <c r="G5" s="80">
        <f t="shared" si="0"/>
        <v>6</v>
      </c>
      <c r="H5" s="80">
        <f t="shared" si="3"/>
        <v>72</v>
      </c>
      <c r="I5" s="80">
        <f t="shared" si="4"/>
        <v>35</v>
      </c>
      <c r="J5" s="80">
        <f t="shared" si="5"/>
        <v>6.9</v>
      </c>
      <c r="K5" s="80">
        <f t="shared" si="6"/>
        <v>82.800000000000011</v>
      </c>
      <c r="L5" s="80">
        <f t="shared" si="7"/>
        <v>0.90000000000000036</v>
      </c>
      <c r="M5" s="80">
        <f t="shared" si="8"/>
        <v>10.800000000000004</v>
      </c>
      <c r="N5" s="224">
        <f t="shared" si="9"/>
        <v>43.65</v>
      </c>
      <c r="O5" s="296" t="str">
        <f t="shared" si="10"/>
        <v>c:\\3cx\\Snom\\jpg\\D765.jpg</v>
      </c>
      <c r="P5" s="296" t="str">
        <f t="shared" si="11"/>
        <v>https://lvoip.lu/3cx/Snom/pdf/D765.pdf</v>
      </c>
      <c r="Q5" s="80">
        <f>ROUND(Phones!D5/$Q$1,0)</f>
        <v>18</v>
      </c>
      <c r="R5" s="80">
        <f t="shared" si="12"/>
        <v>216</v>
      </c>
      <c r="S5" s="80">
        <f>ROUND(Phones!D5/$S$1,0)</f>
        <v>10</v>
      </c>
      <c r="T5" s="80">
        <f t="shared" si="13"/>
        <v>240</v>
      </c>
      <c r="U5" s="80" t="str">
        <f t="shared" si="14"/>
        <v xml:space="preserve"> 194</v>
      </c>
      <c r="V5" s="80" t="str">
        <f t="shared" si="15"/>
        <v xml:space="preserve"> 006</v>
      </c>
      <c r="W5" s="80" t="str">
        <f t="shared" si="16"/>
        <v xml:space="preserve"> 035</v>
      </c>
    </row>
    <row r="6" spans="1:23" x14ac:dyDescent="0.2">
      <c r="A6" s="75" t="s">
        <v>39</v>
      </c>
      <c r="B6" s="215">
        <v>4</v>
      </c>
      <c r="C6" s="213" t="s">
        <v>185</v>
      </c>
      <c r="D6" s="80">
        <f t="shared" si="1"/>
        <v>194</v>
      </c>
      <c r="E6" s="80">
        <f t="shared" si="2"/>
        <v>58.34</v>
      </c>
      <c r="F6" s="217">
        <v>135.66</v>
      </c>
      <c r="G6" s="80">
        <f t="shared" si="0"/>
        <v>6</v>
      </c>
      <c r="H6" s="80">
        <f t="shared" si="3"/>
        <v>72</v>
      </c>
      <c r="I6" s="80">
        <f t="shared" si="4"/>
        <v>35</v>
      </c>
      <c r="J6" s="80">
        <f t="shared" si="5"/>
        <v>6.9</v>
      </c>
      <c r="K6" s="80">
        <f t="shared" si="6"/>
        <v>82.800000000000011</v>
      </c>
      <c r="L6" s="80">
        <f t="shared" si="7"/>
        <v>0.90000000000000036</v>
      </c>
      <c r="M6" s="80">
        <f t="shared" si="8"/>
        <v>10.800000000000004</v>
      </c>
      <c r="N6" s="224">
        <f t="shared" si="9"/>
        <v>43.65</v>
      </c>
      <c r="O6" s="296" t="str">
        <f t="shared" si="10"/>
        <v>c:\\3cx\\Snom\\jpg\\D385.jpg</v>
      </c>
      <c r="P6" s="296" t="str">
        <f t="shared" si="11"/>
        <v>https://lvoip.lu/3cx/Snom/pdf/D385.pdf</v>
      </c>
      <c r="Q6" s="80">
        <f>ROUND(Phones!D6/$Q$1,0)</f>
        <v>18</v>
      </c>
      <c r="R6" s="80">
        <f t="shared" si="12"/>
        <v>216</v>
      </c>
      <c r="S6" s="80">
        <f>ROUND(Phones!D6/$S$1,0)</f>
        <v>10</v>
      </c>
      <c r="T6" s="80">
        <f t="shared" si="13"/>
        <v>240</v>
      </c>
      <c r="U6" s="80" t="str">
        <f t="shared" si="14"/>
        <v xml:space="preserve"> 194</v>
      </c>
      <c r="V6" s="80" t="str">
        <f t="shared" si="15"/>
        <v xml:space="preserve"> 006</v>
      </c>
      <c r="W6" s="80" t="str">
        <f t="shared" si="16"/>
        <v xml:space="preserve"> 035</v>
      </c>
    </row>
    <row r="7" spans="1:23" x14ac:dyDescent="0.2">
      <c r="A7" s="75" t="s">
        <v>39</v>
      </c>
      <c r="B7" s="215">
        <v>5</v>
      </c>
      <c r="C7" s="213" t="s">
        <v>184</v>
      </c>
      <c r="D7" s="80">
        <f t="shared" si="1"/>
        <v>194</v>
      </c>
      <c r="E7" s="80">
        <f t="shared" si="2"/>
        <v>58.34</v>
      </c>
      <c r="F7" s="217">
        <v>135.66</v>
      </c>
      <c r="G7" s="80">
        <f t="shared" si="0"/>
        <v>6</v>
      </c>
      <c r="H7" s="80">
        <f t="shared" si="3"/>
        <v>72</v>
      </c>
      <c r="I7" s="80">
        <f t="shared" si="4"/>
        <v>35</v>
      </c>
      <c r="J7" s="80">
        <f t="shared" si="5"/>
        <v>6.9</v>
      </c>
      <c r="K7" s="80">
        <f t="shared" si="6"/>
        <v>82.800000000000011</v>
      </c>
      <c r="L7" s="80">
        <f t="shared" si="7"/>
        <v>0.90000000000000036</v>
      </c>
      <c r="M7" s="80">
        <f t="shared" si="8"/>
        <v>10.800000000000004</v>
      </c>
      <c r="N7" s="224">
        <f t="shared" si="9"/>
        <v>43.65</v>
      </c>
      <c r="O7" s="296" t="str">
        <f t="shared" si="10"/>
        <v>c:\\3cx\\Snom\\jpg\\D375.jpg</v>
      </c>
      <c r="P7" s="296" t="str">
        <f t="shared" si="11"/>
        <v>https://lvoip.lu/3cx/Snom/pdf/D375.pdf</v>
      </c>
      <c r="Q7" s="80">
        <f>ROUND(Phones!D7/$Q$1,0)</f>
        <v>18</v>
      </c>
      <c r="R7" s="80">
        <f t="shared" si="12"/>
        <v>216</v>
      </c>
      <c r="S7" s="80">
        <f>ROUND(Phones!D7/$S$1,0)</f>
        <v>10</v>
      </c>
      <c r="T7" s="80">
        <f t="shared" si="13"/>
        <v>240</v>
      </c>
      <c r="U7" s="80" t="str">
        <f t="shared" si="14"/>
        <v xml:space="preserve"> 194</v>
      </c>
      <c r="V7" s="80" t="str">
        <f t="shared" si="15"/>
        <v xml:space="preserve"> 006</v>
      </c>
      <c r="W7" s="80" t="str">
        <f t="shared" si="16"/>
        <v xml:space="preserve"> 035</v>
      </c>
    </row>
    <row r="8" spans="1:23" x14ac:dyDescent="0.2">
      <c r="A8" s="75" t="s">
        <v>39</v>
      </c>
      <c r="B8" s="215">
        <v>6</v>
      </c>
      <c r="C8" s="213" t="s">
        <v>188</v>
      </c>
      <c r="D8" s="80">
        <f t="shared" si="1"/>
        <v>187</v>
      </c>
      <c r="E8" s="80">
        <f t="shared" si="2"/>
        <v>55.900000000000006</v>
      </c>
      <c r="F8" s="217">
        <v>131.1</v>
      </c>
      <c r="G8" s="80">
        <f t="shared" si="0"/>
        <v>6</v>
      </c>
      <c r="H8" s="80">
        <f t="shared" si="3"/>
        <v>72</v>
      </c>
      <c r="I8" s="80">
        <f t="shared" si="4"/>
        <v>35</v>
      </c>
      <c r="J8" s="80">
        <f t="shared" si="5"/>
        <v>6.9</v>
      </c>
      <c r="K8" s="80">
        <f t="shared" si="6"/>
        <v>82.800000000000011</v>
      </c>
      <c r="L8" s="80">
        <f t="shared" si="7"/>
        <v>0.90000000000000036</v>
      </c>
      <c r="M8" s="80">
        <f t="shared" si="8"/>
        <v>10.800000000000004</v>
      </c>
      <c r="N8" s="224">
        <f t="shared" si="9"/>
        <v>42.075000000000003</v>
      </c>
      <c r="O8" s="296" t="str">
        <f t="shared" si="10"/>
        <v>c:\\3cx\\Snom\\jpg\\D745.jpg</v>
      </c>
      <c r="P8" s="296" t="str">
        <f t="shared" si="11"/>
        <v>https://lvoip.lu/3cx/Snom/pdf/D745.pdf</v>
      </c>
      <c r="Q8" s="80">
        <f>ROUND(Phones!D8/$Q$1,0)</f>
        <v>18</v>
      </c>
      <c r="R8" s="80">
        <f t="shared" si="12"/>
        <v>216</v>
      </c>
      <c r="S8" s="80">
        <f>ROUND(Phones!D8/$S$1,0)</f>
        <v>10</v>
      </c>
      <c r="T8" s="80">
        <f t="shared" si="13"/>
        <v>240</v>
      </c>
      <c r="U8" s="80" t="str">
        <f t="shared" si="14"/>
        <v xml:space="preserve"> 187</v>
      </c>
      <c r="V8" s="80" t="str">
        <f t="shared" si="15"/>
        <v xml:space="preserve"> 006</v>
      </c>
      <c r="W8" s="80" t="str">
        <f t="shared" si="16"/>
        <v xml:space="preserve"> 035</v>
      </c>
    </row>
    <row r="9" spans="1:23" x14ac:dyDescent="0.2">
      <c r="A9" s="75" t="s">
        <v>39</v>
      </c>
      <c r="B9" s="215">
        <v>7</v>
      </c>
      <c r="C9" s="213" t="s">
        <v>183</v>
      </c>
      <c r="D9" s="80">
        <f t="shared" si="1"/>
        <v>187</v>
      </c>
      <c r="E9" s="80">
        <f t="shared" si="2"/>
        <v>55.900000000000006</v>
      </c>
      <c r="F9" s="217">
        <v>131.1</v>
      </c>
      <c r="G9" s="80">
        <f t="shared" si="0"/>
        <v>6</v>
      </c>
      <c r="H9" s="80">
        <f t="shared" si="3"/>
        <v>72</v>
      </c>
      <c r="I9" s="80">
        <f t="shared" si="4"/>
        <v>35</v>
      </c>
      <c r="J9" s="80">
        <f t="shared" si="5"/>
        <v>6.9</v>
      </c>
      <c r="K9" s="80">
        <f t="shared" si="6"/>
        <v>82.800000000000011</v>
      </c>
      <c r="L9" s="80">
        <f t="shared" si="7"/>
        <v>0.90000000000000036</v>
      </c>
      <c r="M9" s="80">
        <f t="shared" si="8"/>
        <v>10.800000000000004</v>
      </c>
      <c r="N9" s="224">
        <f t="shared" si="9"/>
        <v>42.075000000000003</v>
      </c>
      <c r="O9" s="296" t="str">
        <f t="shared" si="10"/>
        <v>c:\\3cx\\Snom\\jpg\\D345.jpg</v>
      </c>
      <c r="P9" s="296" t="str">
        <f t="shared" si="11"/>
        <v>https://lvoip.lu/3cx/Snom/pdf/D345.pdf</v>
      </c>
      <c r="Q9" s="80">
        <f>ROUND(Phones!D9/$Q$1,0)</f>
        <v>18</v>
      </c>
      <c r="R9" s="80">
        <f t="shared" si="12"/>
        <v>216</v>
      </c>
      <c r="S9" s="80">
        <f>ROUND(Phones!D9/$S$1,0)</f>
        <v>10</v>
      </c>
      <c r="T9" s="80">
        <f t="shared" si="13"/>
        <v>240</v>
      </c>
      <c r="U9" s="80" t="str">
        <f t="shared" si="14"/>
        <v xml:space="preserve"> 187</v>
      </c>
      <c r="V9" s="80" t="str">
        <f t="shared" si="15"/>
        <v xml:space="preserve"> 006</v>
      </c>
      <c r="W9" s="80" t="str">
        <f t="shared" si="16"/>
        <v xml:space="preserve"> 035</v>
      </c>
    </row>
    <row r="10" spans="1:23" x14ac:dyDescent="0.2">
      <c r="A10" s="75" t="s">
        <v>39</v>
      </c>
      <c r="B10" s="215">
        <v>8</v>
      </c>
      <c r="C10" s="213" t="s">
        <v>187</v>
      </c>
      <c r="D10" s="80">
        <f t="shared" si="1"/>
        <v>161</v>
      </c>
      <c r="E10" s="80">
        <f t="shared" si="2"/>
        <v>48.14</v>
      </c>
      <c r="F10" s="217">
        <v>112.86</v>
      </c>
      <c r="G10" s="80">
        <f t="shared" si="0"/>
        <v>6</v>
      </c>
      <c r="H10" s="80">
        <f t="shared" si="3"/>
        <v>72</v>
      </c>
      <c r="I10" s="80">
        <f t="shared" si="4"/>
        <v>35</v>
      </c>
      <c r="J10" s="80">
        <f t="shared" si="5"/>
        <v>6.9</v>
      </c>
      <c r="K10" s="80">
        <f t="shared" si="6"/>
        <v>82.800000000000011</v>
      </c>
      <c r="L10" s="80">
        <f t="shared" si="7"/>
        <v>0.90000000000000036</v>
      </c>
      <c r="M10" s="80">
        <f t="shared" si="8"/>
        <v>10.800000000000004</v>
      </c>
      <c r="N10" s="224">
        <f t="shared" si="9"/>
        <v>36.225000000000001</v>
      </c>
      <c r="O10" s="296" t="str">
        <f t="shared" si="10"/>
        <v>c:\\3cx\\Snom\\jpg\\D725.jpg</v>
      </c>
      <c r="P10" s="296" t="str">
        <f t="shared" si="11"/>
        <v>https://lvoip.lu/3cx/Snom/pdf/D725.pdf</v>
      </c>
      <c r="Q10" s="80">
        <f>ROUND(Phones!D10/$Q$1,0)</f>
        <v>15</v>
      </c>
      <c r="R10" s="80">
        <f t="shared" si="12"/>
        <v>180</v>
      </c>
      <c r="S10" s="80">
        <f>ROUND(Phones!D10/$S$1,0)</f>
        <v>8</v>
      </c>
      <c r="T10" s="80">
        <f t="shared" si="13"/>
        <v>192</v>
      </c>
      <c r="U10" s="80" t="str">
        <f t="shared" si="14"/>
        <v xml:space="preserve"> 161</v>
      </c>
      <c r="V10" s="80" t="str">
        <f t="shared" si="15"/>
        <v xml:space="preserve"> 006</v>
      </c>
      <c r="W10" s="80" t="str">
        <f t="shared" si="16"/>
        <v xml:space="preserve"> 035</v>
      </c>
    </row>
    <row r="11" spans="1:23" x14ac:dyDescent="0.2">
      <c r="A11" s="75" t="s">
        <v>39</v>
      </c>
      <c r="B11" s="215">
        <v>9</v>
      </c>
      <c r="C11" s="213" t="s">
        <v>227</v>
      </c>
      <c r="D11" s="80">
        <f t="shared" si="1"/>
        <v>145</v>
      </c>
      <c r="E11" s="80">
        <f t="shared" si="2"/>
        <v>43.540000000000006</v>
      </c>
      <c r="F11" s="217">
        <v>101.46</v>
      </c>
      <c r="G11" s="80">
        <f t="shared" si="0"/>
        <v>5</v>
      </c>
      <c r="H11" s="80">
        <f t="shared" si="3"/>
        <v>60</v>
      </c>
      <c r="I11" s="80">
        <f t="shared" si="4"/>
        <v>35</v>
      </c>
      <c r="J11" s="80">
        <f t="shared" si="5"/>
        <v>5.75</v>
      </c>
      <c r="K11" s="80">
        <f t="shared" si="6"/>
        <v>69</v>
      </c>
      <c r="L11" s="80">
        <f t="shared" si="7"/>
        <v>0.75</v>
      </c>
      <c r="M11" s="80">
        <f t="shared" si="8"/>
        <v>9</v>
      </c>
      <c r="N11" s="224">
        <f t="shared" si="9"/>
        <v>32.625</v>
      </c>
      <c r="O11" s="296" t="str">
        <f t="shared" si="10"/>
        <v>c:\\3cx\\Snom\\jpg\\D735.jpg</v>
      </c>
      <c r="P11" s="296" t="str">
        <f t="shared" si="11"/>
        <v>https://lvoip.lu/3cx/Snom/pdf/D735.pdf</v>
      </c>
      <c r="Q11" s="80">
        <f>ROUND(Phones!D11/$Q$1,0)</f>
        <v>14</v>
      </c>
      <c r="R11" s="80">
        <f t="shared" si="12"/>
        <v>168</v>
      </c>
      <c r="S11" s="80">
        <f>ROUND(Phones!D11/$S$1,0)</f>
        <v>8</v>
      </c>
      <c r="T11" s="80">
        <f t="shared" si="13"/>
        <v>192</v>
      </c>
      <c r="U11" s="80" t="str">
        <f t="shared" si="14"/>
        <v xml:space="preserve"> 145</v>
      </c>
      <c r="V11" s="80" t="str">
        <f t="shared" si="15"/>
        <v xml:space="preserve"> 005</v>
      </c>
      <c r="W11" s="80" t="str">
        <f t="shared" si="16"/>
        <v xml:space="preserve"> 035</v>
      </c>
    </row>
    <row r="12" spans="1:23" x14ac:dyDescent="0.2">
      <c r="A12" s="75" t="s">
        <v>39</v>
      </c>
      <c r="B12" s="215">
        <v>10</v>
      </c>
      <c r="C12" s="213" t="s">
        <v>238</v>
      </c>
      <c r="D12" s="80">
        <f t="shared" si="1"/>
        <v>145</v>
      </c>
      <c r="E12" s="80">
        <f t="shared" si="2"/>
        <v>43.540000000000006</v>
      </c>
      <c r="F12" s="217">
        <v>101.46</v>
      </c>
      <c r="G12" s="80">
        <f t="shared" si="0"/>
        <v>5</v>
      </c>
      <c r="H12" s="80">
        <f t="shared" si="3"/>
        <v>60</v>
      </c>
      <c r="I12" s="80">
        <f t="shared" si="4"/>
        <v>35</v>
      </c>
      <c r="J12" s="80">
        <f t="shared" si="5"/>
        <v>5.75</v>
      </c>
      <c r="K12" s="80">
        <f t="shared" si="6"/>
        <v>69</v>
      </c>
      <c r="L12" s="80">
        <f t="shared" si="7"/>
        <v>0.75</v>
      </c>
      <c r="M12" s="80">
        <f t="shared" si="8"/>
        <v>9</v>
      </c>
      <c r="N12" s="224">
        <f t="shared" si="9"/>
        <v>32.625</v>
      </c>
      <c r="O12" s="296" t="str">
        <f t="shared" si="10"/>
        <v>c:\\3cx\\Snom\\jpg\\D735-W.jpg</v>
      </c>
      <c r="P12" s="296" t="str">
        <f t="shared" si="11"/>
        <v>https://lvoip.lu/3cx/Snom/pdf/D735-W.pdf</v>
      </c>
      <c r="Q12" s="80">
        <f>ROUND(Phones!D12/$Q$1,0)</f>
        <v>14</v>
      </c>
      <c r="R12" s="80">
        <f t="shared" si="12"/>
        <v>168</v>
      </c>
      <c r="S12" s="80">
        <f>ROUND(Phones!D12/$S$1,0)</f>
        <v>8</v>
      </c>
      <c r="T12" s="80">
        <f t="shared" si="13"/>
        <v>192</v>
      </c>
      <c r="U12" s="80" t="str">
        <f t="shared" si="14"/>
        <v xml:space="preserve"> 145</v>
      </c>
      <c r="V12" s="80" t="str">
        <f t="shared" si="15"/>
        <v xml:space="preserve"> 005</v>
      </c>
      <c r="W12" s="80" t="str">
        <f t="shared" si="16"/>
        <v xml:space="preserve"> 035</v>
      </c>
    </row>
    <row r="13" spans="1:23" x14ac:dyDescent="0.2">
      <c r="A13" s="75" t="s">
        <v>39</v>
      </c>
      <c r="B13" s="215">
        <v>11</v>
      </c>
      <c r="C13" s="213" t="s">
        <v>296</v>
      </c>
      <c r="D13" s="80">
        <f t="shared" si="1"/>
        <v>145</v>
      </c>
      <c r="E13" s="80">
        <f t="shared" si="2"/>
        <v>43.540000000000006</v>
      </c>
      <c r="F13" s="343">
        <v>101.46</v>
      </c>
      <c r="G13" s="80">
        <f t="shared" si="0"/>
        <v>5</v>
      </c>
      <c r="H13" s="80">
        <f t="shared" si="3"/>
        <v>60</v>
      </c>
      <c r="I13" s="80">
        <f t="shared" si="4"/>
        <v>35</v>
      </c>
      <c r="J13" s="80">
        <f t="shared" si="5"/>
        <v>5.75</v>
      </c>
      <c r="K13" s="80">
        <f t="shared" si="6"/>
        <v>69</v>
      </c>
      <c r="L13" s="80">
        <f t="shared" si="7"/>
        <v>0.75</v>
      </c>
      <c r="M13" s="80">
        <f t="shared" si="8"/>
        <v>9</v>
      </c>
      <c r="N13" s="224">
        <f t="shared" si="9"/>
        <v>32.625</v>
      </c>
      <c r="O13" s="296" t="str">
        <f t="shared" si="10"/>
        <v>c:\\3cx\\Snom\\jpg\\D335.jpg</v>
      </c>
      <c r="P13" s="296" t="str">
        <f t="shared" si="11"/>
        <v>https://lvoip.lu/3cx/Snom/pdf/D335.pdf</v>
      </c>
      <c r="Q13" s="80">
        <f>ROUND(Phones!D13/$Q$1,0)</f>
        <v>14</v>
      </c>
      <c r="R13" s="80">
        <f t="shared" si="12"/>
        <v>168</v>
      </c>
      <c r="S13" s="80">
        <f>ROUND(Phones!D13/$S$1,0)</f>
        <v>8</v>
      </c>
      <c r="T13" s="80">
        <f t="shared" si="13"/>
        <v>192</v>
      </c>
      <c r="U13" s="80" t="str">
        <f t="shared" si="14"/>
        <v xml:space="preserve"> 145</v>
      </c>
      <c r="V13" s="80" t="str">
        <f t="shared" si="15"/>
        <v xml:space="preserve"> 005</v>
      </c>
      <c r="W13" s="80" t="str">
        <f t="shared" si="16"/>
        <v xml:space="preserve"> 035</v>
      </c>
    </row>
    <row r="14" spans="1:23" x14ac:dyDescent="0.2">
      <c r="A14" s="75" t="s">
        <v>39</v>
      </c>
      <c r="B14" s="215">
        <v>12</v>
      </c>
      <c r="C14" s="213" t="s">
        <v>224</v>
      </c>
      <c r="D14" s="80">
        <f t="shared" si="1"/>
        <v>130</v>
      </c>
      <c r="E14" s="80">
        <f t="shared" si="2"/>
        <v>38.799999999999997</v>
      </c>
      <c r="F14" s="217">
        <v>91.2</v>
      </c>
      <c r="G14" s="80">
        <f t="shared" si="0"/>
        <v>5</v>
      </c>
      <c r="H14" s="80">
        <f t="shared" si="3"/>
        <v>60</v>
      </c>
      <c r="I14" s="80">
        <f t="shared" si="4"/>
        <v>35</v>
      </c>
      <c r="J14" s="80">
        <f t="shared" si="5"/>
        <v>5.75</v>
      </c>
      <c r="K14" s="80">
        <f t="shared" si="6"/>
        <v>69</v>
      </c>
      <c r="L14" s="80">
        <f t="shared" si="7"/>
        <v>0.75</v>
      </c>
      <c r="M14" s="80">
        <f t="shared" si="8"/>
        <v>9</v>
      </c>
      <c r="N14" s="224">
        <f t="shared" si="9"/>
        <v>29.25</v>
      </c>
      <c r="O14" s="296" t="str">
        <f t="shared" si="10"/>
        <v>c:\\3cx\\Snom\\jpg\\D3.jpg</v>
      </c>
      <c r="P14" s="296" t="str">
        <f t="shared" si="11"/>
        <v>https://lvoip.lu/3cx/Snom/pdf/D3.pdf</v>
      </c>
      <c r="Q14" s="80">
        <f>ROUND(Phones!D14/$Q$1,0)</f>
        <v>12</v>
      </c>
      <c r="R14" s="80">
        <f t="shared" si="12"/>
        <v>144</v>
      </c>
      <c r="S14" s="80">
        <f>ROUND(Phones!D14/$S$1,0)</f>
        <v>7</v>
      </c>
      <c r="T14" s="80">
        <f t="shared" si="13"/>
        <v>168</v>
      </c>
      <c r="U14" s="80" t="str">
        <f t="shared" si="14"/>
        <v xml:space="preserve"> 130</v>
      </c>
      <c r="V14" s="80" t="str">
        <f t="shared" si="15"/>
        <v xml:space="preserve"> 005</v>
      </c>
      <c r="W14" s="80" t="str">
        <f t="shared" si="16"/>
        <v xml:space="preserve"> 035</v>
      </c>
    </row>
    <row r="15" spans="1:23" x14ac:dyDescent="0.2">
      <c r="A15" s="75" t="s">
        <v>39</v>
      </c>
      <c r="B15" s="215">
        <v>13</v>
      </c>
      <c r="C15" s="213" t="s">
        <v>225</v>
      </c>
      <c r="D15" s="80">
        <f t="shared" si="1"/>
        <v>130</v>
      </c>
      <c r="E15" s="80">
        <f t="shared" si="2"/>
        <v>38.799999999999997</v>
      </c>
      <c r="F15" s="217">
        <v>91.2</v>
      </c>
      <c r="G15" s="80">
        <f t="shared" si="0"/>
        <v>5</v>
      </c>
      <c r="H15" s="80">
        <f t="shared" si="3"/>
        <v>60</v>
      </c>
      <c r="I15" s="80">
        <f t="shared" si="4"/>
        <v>35</v>
      </c>
      <c r="J15" s="80">
        <f t="shared" si="5"/>
        <v>5.75</v>
      </c>
      <c r="K15" s="80">
        <f t="shared" si="6"/>
        <v>69</v>
      </c>
      <c r="L15" s="80">
        <f t="shared" si="7"/>
        <v>0.75</v>
      </c>
      <c r="M15" s="80">
        <f t="shared" si="8"/>
        <v>9</v>
      </c>
      <c r="N15" s="224">
        <f t="shared" si="9"/>
        <v>29.25</v>
      </c>
      <c r="O15" s="296" t="str">
        <f t="shared" si="10"/>
        <v>c:\\3cx\\Snom\\jpg\\D7.jpg</v>
      </c>
      <c r="P15" s="296" t="str">
        <f t="shared" si="11"/>
        <v>https://lvoip.lu/3cx/Snom/pdf/D7.pdf</v>
      </c>
      <c r="Q15" s="80">
        <f>ROUND(Phones!D15/$Q$1,0)</f>
        <v>12</v>
      </c>
      <c r="R15" s="80">
        <f t="shared" si="12"/>
        <v>144</v>
      </c>
      <c r="S15" s="80">
        <f>ROUND(Phones!D15/$S$1,0)</f>
        <v>7</v>
      </c>
      <c r="T15" s="80">
        <f t="shared" si="13"/>
        <v>168</v>
      </c>
      <c r="U15" s="80" t="str">
        <f t="shared" si="14"/>
        <v xml:space="preserve"> 130</v>
      </c>
      <c r="V15" s="80" t="str">
        <f t="shared" si="15"/>
        <v xml:space="preserve"> 005</v>
      </c>
      <c r="W15" s="80" t="str">
        <f t="shared" si="16"/>
        <v xml:space="preserve"> 035</v>
      </c>
    </row>
    <row r="16" spans="1:23" x14ac:dyDescent="0.2">
      <c r="A16" s="75" t="s">
        <v>39</v>
      </c>
      <c r="B16" s="215">
        <v>14</v>
      </c>
      <c r="C16" s="213" t="s">
        <v>240</v>
      </c>
      <c r="D16" s="80">
        <f t="shared" si="1"/>
        <v>130</v>
      </c>
      <c r="E16" s="80">
        <f t="shared" si="2"/>
        <v>38.799999999999997</v>
      </c>
      <c r="F16" s="217">
        <v>91.2</v>
      </c>
      <c r="G16" s="80">
        <f t="shared" si="0"/>
        <v>5</v>
      </c>
      <c r="H16" s="80">
        <f t="shared" si="3"/>
        <v>60</v>
      </c>
      <c r="I16" s="80">
        <f t="shared" si="4"/>
        <v>35</v>
      </c>
      <c r="J16" s="80">
        <f t="shared" si="5"/>
        <v>5.75</v>
      </c>
      <c r="K16" s="80">
        <f t="shared" si="6"/>
        <v>69</v>
      </c>
      <c r="L16" s="80">
        <f t="shared" si="7"/>
        <v>0.75</v>
      </c>
      <c r="M16" s="80">
        <f t="shared" si="8"/>
        <v>9</v>
      </c>
      <c r="N16" s="224">
        <f t="shared" si="9"/>
        <v>29.25</v>
      </c>
      <c r="O16" s="296" t="str">
        <f t="shared" si="10"/>
        <v>c:\\3cx\\Snom\\jpg\\D7-W.jpg</v>
      </c>
      <c r="P16" s="296" t="str">
        <f t="shared" si="11"/>
        <v>https://lvoip.lu/3cx/Snom/pdf/D7-W.pdf</v>
      </c>
      <c r="Q16" s="80">
        <f>ROUND(Phones!D16/$Q$1,0)</f>
        <v>12</v>
      </c>
      <c r="R16" s="80">
        <f t="shared" si="12"/>
        <v>144</v>
      </c>
      <c r="S16" s="80">
        <f>ROUND(Phones!D16/$S$1,0)</f>
        <v>7</v>
      </c>
      <c r="T16" s="80">
        <f t="shared" si="13"/>
        <v>168</v>
      </c>
      <c r="U16" s="80" t="str">
        <f t="shared" si="14"/>
        <v xml:space="preserve"> 130</v>
      </c>
      <c r="V16" s="80" t="str">
        <f t="shared" si="15"/>
        <v xml:space="preserve"> 005</v>
      </c>
      <c r="W16" s="80" t="str">
        <f t="shared" si="16"/>
        <v xml:space="preserve"> 035</v>
      </c>
    </row>
    <row r="17" spans="1:23" x14ac:dyDescent="0.2">
      <c r="A17" s="75" t="s">
        <v>39</v>
      </c>
      <c r="B17" s="215">
        <v>15</v>
      </c>
      <c r="C17" s="213" t="s">
        <v>226</v>
      </c>
      <c r="D17" s="80">
        <f t="shared" si="1"/>
        <v>117</v>
      </c>
      <c r="E17" s="80">
        <f t="shared" si="2"/>
        <v>34.92</v>
      </c>
      <c r="F17" s="217">
        <v>82.08</v>
      </c>
      <c r="G17" s="80">
        <f t="shared" si="0"/>
        <v>5</v>
      </c>
      <c r="H17" s="80">
        <f t="shared" si="3"/>
        <v>60</v>
      </c>
      <c r="I17" s="80">
        <f t="shared" si="4"/>
        <v>35</v>
      </c>
      <c r="J17" s="80">
        <f t="shared" si="5"/>
        <v>5.75</v>
      </c>
      <c r="K17" s="80">
        <f t="shared" si="6"/>
        <v>69</v>
      </c>
      <c r="L17" s="80">
        <f t="shared" si="7"/>
        <v>0.75</v>
      </c>
      <c r="M17" s="80">
        <f t="shared" si="8"/>
        <v>9</v>
      </c>
      <c r="N17" s="224">
        <f t="shared" si="9"/>
        <v>26.324999999999999</v>
      </c>
      <c r="O17" s="296" t="str">
        <f t="shared" si="10"/>
        <v>c:\\3cx\\Snom\\jpg\\D715.jpg</v>
      </c>
      <c r="P17" s="296" t="str">
        <f t="shared" si="11"/>
        <v>https://lvoip.lu/3cx/Snom/pdf/D715.pdf</v>
      </c>
      <c r="Q17" s="80">
        <f>ROUND(Phones!D17/$Q$1,0)</f>
        <v>11</v>
      </c>
      <c r="R17" s="80">
        <f t="shared" si="12"/>
        <v>132</v>
      </c>
      <c r="S17" s="80">
        <f>ROUND(Phones!D17/$S$1,0)</f>
        <v>6</v>
      </c>
      <c r="T17" s="80">
        <f t="shared" si="13"/>
        <v>144</v>
      </c>
      <c r="U17" s="80" t="str">
        <f t="shared" si="14"/>
        <v xml:space="preserve"> 117</v>
      </c>
      <c r="V17" s="80" t="str">
        <f t="shared" si="15"/>
        <v xml:space="preserve"> 005</v>
      </c>
      <c r="W17" s="80" t="str">
        <f t="shared" si="16"/>
        <v xml:space="preserve"> 035</v>
      </c>
    </row>
    <row r="18" spans="1:23" x14ac:dyDescent="0.2">
      <c r="A18" s="75" t="s">
        <v>39</v>
      </c>
      <c r="B18" s="215">
        <v>16</v>
      </c>
      <c r="C18" s="213" t="s">
        <v>237</v>
      </c>
      <c r="D18" s="80">
        <f t="shared" si="1"/>
        <v>117</v>
      </c>
      <c r="E18" s="80">
        <f t="shared" si="2"/>
        <v>34.92</v>
      </c>
      <c r="F18" s="217">
        <v>82.08</v>
      </c>
      <c r="G18" s="80">
        <f t="shared" si="0"/>
        <v>5</v>
      </c>
      <c r="H18" s="80">
        <f t="shared" si="3"/>
        <v>60</v>
      </c>
      <c r="I18" s="80">
        <f t="shared" si="4"/>
        <v>35</v>
      </c>
      <c r="J18" s="80">
        <f t="shared" si="5"/>
        <v>5.75</v>
      </c>
      <c r="K18" s="80">
        <f t="shared" si="6"/>
        <v>69</v>
      </c>
      <c r="L18" s="80">
        <f t="shared" si="7"/>
        <v>0.75</v>
      </c>
      <c r="M18" s="80">
        <f t="shared" si="8"/>
        <v>9</v>
      </c>
      <c r="N18" s="224">
        <f t="shared" si="9"/>
        <v>26.324999999999999</v>
      </c>
      <c r="O18" s="296" t="str">
        <f t="shared" si="10"/>
        <v>c:\\3cx\\Snom\\jpg\\D715-W.jpg</v>
      </c>
      <c r="P18" s="296" t="str">
        <f t="shared" si="11"/>
        <v>https://lvoip.lu/3cx/Snom/pdf/D715-W.pdf</v>
      </c>
      <c r="Q18" s="80">
        <f>ROUND(Phones!D18/$Q$1,0)</f>
        <v>11</v>
      </c>
      <c r="R18" s="80">
        <f t="shared" si="12"/>
        <v>132</v>
      </c>
      <c r="S18" s="80">
        <f>ROUND(Phones!D18/$S$1,0)</f>
        <v>6</v>
      </c>
      <c r="T18" s="80">
        <f t="shared" si="13"/>
        <v>144</v>
      </c>
      <c r="U18" s="80" t="str">
        <f t="shared" si="14"/>
        <v xml:space="preserve"> 117</v>
      </c>
      <c r="V18" s="80" t="str">
        <f t="shared" si="15"/>
        <v xml:space="preserve"> 005</v>
      </c>
      <c r="W18" s="80" t="str">
        <f t="shared" si="16"/>
        <v xml:space="preserve"> 035</v>
      </c>
    </row>
    <row r="19" spans="1:23" x14ac:dyDescent="0.2">
      <c r="A19" s="75" t="s">
        <v>39</v>
      </c>
      <c r="B19" s="215">
        <v>17</v>
      </c>
      <c r="C19" s="213" t="s">
        <v>297</v>
      </c>
      <c r="D19" s="80">
        <f t="shared" si="1"/>
        <v>117</v>
      </c>
      <c r="E19" s="80">
        <f t="shared" si="2"/>
        <v>34.92</v>
      </c>
      <c r="F19" s="343">
        <v>82.08</v>
      </c>
      <c r="G19" s="80">
        <f t="shared" si="0"/>
        <v>5</v>
      </c>
      <c r="H19" s="80">
        <f t="shared" si="3"/>
        <v>60</v>
      </c>
      <c r="I19" s="80">
        <f t="shared" si="4"/>
        <v>35</v>
      </c>
      <c r="J19" s="80">
        <f t="shared" si="5"/>
        <v>5.75</v>
      </c>
      <c r="K19" s="80">
        <f t="shared" si="6"/>
        <v>69</v>
      </c>
      <c r="L19" s="80">
        <f t="shared" si="7"/>
        <v>0.75</v>
      </c>
      <c r="M19" s="80">
        <f t="shared" si="8"/>
        <v>9</v>
      </c>
      <c r="N19" s="224">
        <f t="shared" si="9"/>
        <v>26.324999999999999</v>
      </c>
      <c r="O19" s="296" t="str">
        <f t="shared" si="10"/>
        <v>c:\\3cx\\Snom\\jpg\\D717.jpg</v>
      </c>
      <c r="P19" s="296" t="str">
        <f t="shared" si="11"/>
        <v>https://lvoip.lu/3cx/Snom/pdf/D717.pdf</v>
      </c>
      <c r="Q19" s="80">
        <f>ROUND(Phones!D19/$Q$1,0)</f>
        <v>11</v>
      </c>
      <c r="R19" s="80">
        <f t="shared" si="12"/>
        <v>132</v>
      </c>
      <c r="S19" s="80">
        <f>ROUND(Phones!D19/$S$1,0)</f>
        <v>6</v>
      </c>
      <c r="T19" s="80">
        <f t="shared" si="13"/>
        <v>144</v>
      </c>
      <c r="U19" s="80" t="str">
        <f t="shared" si="14"/>
        <v xml:space="preserve"> 117</v>
      </c>
      <c r="V19" s="80" t="str">
        <f t="shared" si="15"/>
        <v xml:space="preserve"> 005</v>
      </c>
      <c r="W19" s="80" t="str">
        <f t="shared" si="16"/>
        <v xml:space="preserve"> 035</v>
      </c>
    </row>
    <row r="20" spans="1:23" x14ac:dyDescent="0.2">
      <c r="A20" s="75" t="s">
        <v>39</v>
      </c>
      <c r="B20" s="215">
        <v>18</v>
      </c>
      <c r="C20" s="213" t="s">
        <v>298</v>
      </c>
      <c r="D20" s="80">
        <f t="shared" si="1"/>
        <v>117</v>
      </c>
      <c r="E20" s="80">
        <f t="shared" si="2"/>
        <v>34.92</v>
      </c>
      <c r="F20" s="343">
        <v>82.08</v>
      </c>
      <c r="G20" s="80">
        <f t="shared" si="0"/>
        <v>5</v>
      </c>
      <c r="H20" s="80">
        <f t="shared" si="3"/>
        <v>60</v>
      </c>
      <c r="I20" s="80">
        <f t="shared" si="4"/>
        <v>35</v>
      </c>
      <c r="J20" s="80">
        <f t="shared" si="5"/>
        <v>5.75</v>
      </c>
      <c r="K20" s="80">
        <f t="shared" si="6"/>
        <v>69</v>
      </c>
      <c r="L20" s="80">
        <f t="shared" si="7"/>
        <v>0.75</v>
      </c>
      <c r="M20" s="80">
        <f t="shared" si="8"/>
        <v>9</v>
      </c>
      <c r="N20" s="224">
        <f t="shared" si="9"/>
        <v>26.324999999999999</v>
      </c>
      <c r="O20" s="296" t="str">
        <f t="shared" si="10"/>
        <v>c:\\3cx\\Snom\\jpg\\D717-W.jpg</v>
      </c>
      <c r="P20" s="296" t="str">
        <f t="shared" si="11"/>
        <v>https://lvoip.lu/3cx/Snom/pdf/D717-W.pdf</v>
      </c>
      <c r="Q20" s="80">
        <f>ROUND(Phones!D20/$Q$1,0)</f>
        <v>11</v>
      </c>
      <c r="R20" s="80">
        <f t="shared" si="12"/>
        <v>132</v>
      </c>
      <c r="S20" s="80">
        <f>ROUND(Phones!D20/$S$1,0)</f>
        <v>6</v>
      </c>
      <c r="T20" s="80">
        <f t="shared" si="13"/>
        <v>144</v>
      </c>
      <c r="U20" s="80" t="str">
        <f t="shared" si="14"/>
        <v xml:space="preserve"> 117</v>
      </c>
      <c r="V20" s="80" t="str">
        <f t="shared" si="15"/>
        <v xml:space="preserve"> 005</v>
      </c>
      <c r="W20" s="80" t="str">
        <f t="shared" si="16"/>
        <v xml:space="preserve"> 035</v>
      </c>
    </row>
    <row r="21" spans="1:23" x14ac:dyDescent="0.2">
      <c r="A21" s="75" t="s">
        <v>39</v>
      </c>
      <c r="B21" s="215">
        <v>19</v>
      </c>
      <c r="C21" s="213" t="s">
        <v>182</v>
      </c>
      <c r="D21" s="80">
        <f t="shared" si="1"/>
        <v>117</v>
      </c>
      <c r="E21" s="80">
        <f t="shared" si="2"/>
        <v>34.92</v>
      </c>
      <c r="F21" s="217">
        <v>82.08</v>
      </c>
      <c r="G21" s="80">
        <f t="shared" si="0"/>
        <v>5</v>
      </c>
      <c r="H21" s="80">
        <f t="shared" si="3"/>
        <v>60</v>
      </c>
      <c r="I21" s="80">
        <f t="shared" si="4"/>
        <v>35</v>
      </c>
      <c r="J21" s="80">
        <f t="shared" si="5"/>
        <v>5.75</v>
      </c>
      <c r="K21" s="80">
        <f t="shared" si="6"/>
        <v>69</v>
      </c>
      <c r="L21" s="80">
        <f t="shared" si="7"/>
        <v>0.75</v>
      </c>
      <c r="M21" s="80">
        <f t="shared" si="8"/>
        <v>9</v>
      </c>
      <c r="N21" s="224">
        <f t="shared" si="9"/>
        <v>26.324999999999999</v>
      </c>
      <c r="O21" s="296" t="str">
        <f t="shared" si="10"/>
        <v>c:\\3cx\\Snom\\jpg\\D315.jpg</v>
      </c>
      <c r="P21" s="296" t="str">
        <f t="shared" si="11"/>
        <v>https://lvoip.lu/3cx/Snom/pdf/D315.pdf</v>
      </c>
      <c r="Q21" s="80">
        <f>ROUND(Phones!D21/$Q$1,0)</f>
        <v>11</v>
      </c>
      <c r="R21" s="80">
        <f t="shared" si="12"/>
        <v>132</v>
      </c>
      <c r="S21" s="80">
        <f>ROUND(Phones!D21/$S$1,0)</f>
        <v>6</v>
      </c>
      <c r="T21" s="80">
        <f t="shared" si="13"/>
        <v>144</v>
      </c>
      <c r="U21" s="80" t="str">
        <f t="shared" si="14"/>
        <v xml:space="preserve"> 117</v>
      </c>
      <c r="V21" s="80" t="str">
        <f t="shared" si="15"/>
        <v xml:space="preserve"> 005</v>
      </c>
      <c r="W21" s="80" t="str">
        <f t="shared" si="16"/>
        <v xml:space="preserve"> 035</v>
      </c>
    </row>
    <row r="22" spans="1:23" x14ac:dyDescent="0.2">
      <c r="A22" s="75" t="s">
        <v>39</v>
      </c>
      <c r="B22" s="215">
        <v>20</v>
      </c>
      <c r="C22" s="213" t="s">
        <v>186</v>
      </c>
      <c r="D22" s="80">
        <f t="shared" si="1"/>
        <v>99</v>
      </c>
      <c r="E22" s="80">
        <f t="shared" si="2"/>
        <v>29.459999999999994</v>
      </c>
      <c r="F22" s="217">
        <v>69.540000000000006</v>
      </c>
      <c r="G22" s="80">
        <f t="shared" si="0"/>
        <v>4</v>
      </c>
      <c r="H22" s="80">
        <f t="shared" si="3"/>
        <v>48</v>
      </c>
      <c r="I22" s="80">
        <f t="shared" si="4"/>
        <v>25</v>
      </c>
      <c r="J22" s="80">
        <f t="shared" si="5"/>
        <v>4.5999999999999996</v>
      </c>
      <c r="K22" s="80">
        <f t="shared" si="6"/>
        <v>55.199999999999996</v>
      </c>
      <c r="L22" s="80">
        <f t="shared" si="7"/>
        <v>0.59999999999999964</v>
      </c>
      <c r="M22" s="80">
        <f t="shared" si="8"/>
        <v>7.1999999999999957</v>
      </c>
      <c r="N22" s="224">
        <f t="shared" si="9"/>
        <v>22.275000000000002</v>
      </c>
      <c r="O22" s="296" t="str">
        <f t="shared" si="10"/>
        <v>c:\\3cx\\Snom\\jpg\\D712.jpg</v>
      </c>
      <c r="P22" s="296" t="str">
        <f t="shared" si="11"/>
        <v>https://lvoip.lu/3cx/Snom/pdf/D712.pdf</v>
      </c>
      <c r="Q22" s="80">
        <f>ROUND(Phones!D22/$Q$1,0)</f>
        <v>9</v>
      </c>
      <c r="R22" s="80">
        <f t="shared" si="12"/>
        <v>108</v>
      </c>
      <c r="S22" s="80">
        <f>ROUND(Phones!D22/$S$1,0)</f>
        <v>5</v>
      </c>
      <c r="T22" s="80">
        <f t="shared" si="13"/>
        <v>120</v>
      </c>
      <c r="U22" s="80" t="str">
        <f t="shared" si="14"/>
        <v xml:space="preserve"> 099</v>
      </c>
      <c r="V22" s="80" t="str">
        <f t="shared" si="15"/>
        <v xml:space="preserve"> 004</v>
      </c>
      <c r="W22" s="80" t="str">
        <f t="shared" si="16"/>
        <v xml:space="preserve"> 025</v>
      </c>
    </row>
    <row r="23" spans="1:23" x14ac:dyDescent="0.2">
      <c r="A23" s="75" t="s">
        <v>39</v>
      </c>
      <c r="B23" s="215">
        <v>21</v>
      </c>
      <c r="C23" s="213" t="s">
        <v>181</v>
      </c>
      <c r="D23" s="80">
        <f t="shared" si="1"/>
        <v>99</v>
      </c>
      <c r="E23" s="80">
        <f t="shared" si="2"/>
        <v>29.459999999999994</v>
      </c>
      <c r="F23" s="217">
        <v>69.540000000000006</v>
      </c>
      <c r="G23" s="80">
        <f t="shared" si="0"/>
        <v>4</v>
      </c>
      <c r="H23" s="80">
        <f t="shared" si="3"/>
        <v>48</v>
      </c>
      <c r="I23" s="80">
        <f t="shared" si="4"/>
        <v>25</v>
      </c>
      <c r="J23" s="80">
        <f t="shared" si="5"/>
        <v>4.5999999999999996</v>
      </c>
      <c r="K23" s="80">
        <f t="shared" si="6"/>
        <v>55.199999999999996</v>
      </c>
      <c r="L23" s="80">
        <f t="shared" si="7"/>
        <v>0.59999999999999964</v>
      </c>
      <c r="M23" s="80">
        <f t="shared" si="8"/>
        <v>7.1999999999999957</v>
      </c>
      <c r="N23" s="224">
        <f t="shared" si="9"/>
        <v>22.275000000000002</v>
      </c>
      <c r="O23" s="296" t="str">
        <f t="shared" si="10"/>
        <v>c:\\3cx\\Snom\\jpg\\D305.jpg</v>
      </c>
      <c r="P23" s="296" t="str">
        <f t="shared" si="11"/>
        <v>https://lvoip.lu/3cx/Snom/pdf/D305.pdf</v>
      </c>
      <c r="Q23" s="80">
        <f>ROUND(Phones!D23/$Q$1,0)</f>
        <v>9</v>
      </c>
      <c r="R23" s="80">
        <f t="shared" si="12"/>
        <v>108</v>
      </c>
      <c r="S23" s="80">
        <f>ROUND(Phones!D23/$S$1,0)</f>
        <v>5</v>
      </c>
      <c r="T23" s="80">
        <f t="shared" si="13"/>
        <v>120</v>
      </c>
      <c r="U23" s="80" t="str">
        <f t="shared" si="14"/>
        <v xml:space="preserve"> 099</v>
      </c>
      <c r="V23" s="80" t="str">
        <f t="shared" si="15"/>
        <v xml:space="preserve"> 004</v>
      </c>
      <c r="W23" s="80" t="str">
        <f t="shared" si="16"/>
        <v xml:space="preserve"> 025</v>
      </c>
    </row>
    <row r="24" spans="1:23" x14ac:dyDescent="0.2">
      <c r="A24" s="75" t="s">
        <v>39</v>
      </c>
      <c r="B24" s="215">
        <v>22</v>
      </c>
      <c r="C24" s="213" t="s">
        <v>180</v>
      </c>
      <c r="D24" s="80">
        <f t="shared" si="1"/>
        <v>57</v>
      </c>
      <c r="E24" s="80">
        <f t="shared" si="2"/>
        <v>17.100000000000001</v>
      </c>
      <c r="F24" s="217">
        <v>39.9</v>
      </c>
      <c r="G24" s="80">
        <f t="shared" si="0"/>
        <v>4</v>
      </c>
      <c r="H24" s="80">
        <f t="shared" si="3"/>
        <v>48</v>
      </c>
      <c r="I24" s="80">
        <f t="shared" si="4"/>
        <v>15</v>
      </c>
      <c r="J24" s="80">
        <f t="shared" si="5"/>
        <v>4.5999999999999996</v>
      </c>
      <c r="K24" s="80">
        <f t="shared" si="6"/>
        <v>55.199999999999996</v>
      </c>
      <c r="L24" s="80">
        <f t="shared" si="7"/>
        <v>0.59999999999999964</v>
      </c>
      <c r="M24" s="80">
        <f t="shared" si="8"/>
        <v>7.1999999999999957</v>
      </c>
      <c r="N24" s="224">
        <f t="shared" si="9"/>
        <v>12.825000000000001</v>
      </c>
      <c r="O24" s="296" t="str">
        <f t="shared" si="10"/>
        <v>c:\\3cx\\Snom\\jpg\\D120.jpg</v>
      </c>
      <c r="P24" s="296" t="str">
        <f t="shared" si="11"/>
        <v>https://lvoip.lu/3cx/Snom/pdf/D120.pdf</v>
      </c>
      <c r="Q24" s="80">
        <f>ROUND(Phones!D24/$Q$1,0)</f>
        <v>5</v>
      </c>
      <c r="R24" s="80">
        <f t="shared" si="12"/>
        <v>60</v>
      </c>
      <c r="S24" s="80">
        <f>ROUND(Phones!D24/$S$1,0)</f>
        <v>3</v>
      </c>
      <c r="T24" s="80">
        <f t="shared" si="13"/>
        <v>72</v>
      </c>
      <c r="U24" s="80" t="str">
        <f t="shared" si="14"/>
        <v xml:space="preserve"> 057</v>
      </c>
      <c r="V24" s="80" t="str">
        <f t="shared" si="15"/>
        <v xml:space="preserve"> 004</v>
      </c>
      <c r="W24" s="80" t="str">
        <f t="shared" si="16"/>
        <v xml:space="preserve"> 015</v>
      </c>
    </row>
    <row r="25" spans="1:23" x14ac:dyDescent="0.2">
      <c r="A25" s="75" t="s">
        <v>39</v>
      </c>
      <c r="B25" s="215">
        <v>23</v>
      </c>
      <c r="C25" s="213" t="s">
        <v>279</v>
      </c>
      <c r="D25" s="80">
        <f t="shared" si="1"/>
        <v>406</v>
      </c>
      <c r="E25" s="80">
        <f t="shared" si="2"/>
        <v>122.13999999999999</v>
      </c>
      <c r="F25" s="217">
        <v>283.86</v>
      </c>
      <c r="G25" s="80">
        <f t="shared" si="0"/>
        <v>11</v>
      </c>
      <c r="H25" s="80">
        <f t="shared" si="3"/>
        <v>132</v>
      </c>
      <c r="I25" s="80">
        <f t="shared" si="4"/>
        <v>35</v>
      </c>
      <c r="J25" s="80">
        <f t="shared" si="5"/>
        <v>12.65</v>
      </c>
      <c r="K25" s="80">
        <f t="shared" si="6"/>
        <v>151.80000000000001</v>
      </c>
      <c r="L25" s="80">
        <f t="shared" si="7"/>
        <v>1.6500000000000004</v>
      </c>
      <c r="M25" s="80">
        <f t="shared" si="8"/>
        <v>19.800000000000004</v>
      </c>
      <c r="N25" s="224">
        <f t="shared" si="9"/>
        <v>91.350000000000009</v>
      </c>
      <c r="O25" s="296" t="str">
        <f t="shared" si="10"/>
        <v>c:\\3cx\\Snom\\jpg\\M85.jpg</v>
      </c>
      <c r="P25" s="296" t="str">
        <f t="shared" si="11"/>
        <v>https://lvoip.lu/3cx/Snom/pdf/M85.pdf</v>
      </c>
      <c r="Q25" s="80">
        <f>ROUND(Phones!D25/$Q$1,0)</f>
        <v>38</v>
      </c>
      <c r="R25" s="80">
        <f t="shared" si="12"/>
        <v>456</v>
      </c>
      <c r="S25" s="80">
        <f>ROUND(Phones!D25/$S$1,0)</f>
        <v>21</v>
      </c>
      <c r="T25" s="80">
        <f t="shared" si="13"/>
        <v>504</v>
      </c>
      <c r="U25" s="80" t="str">
        <f t="shared" si="14"/>
        <v xml:space="preserve"> 406</v>
      </c>
      <c r="V25" s="80" t="str">
        <f t="shared" si="15"/>
        <v xml:space="preserve"> 011</v>
      </c>
      <c r="W25" s="80" t="str">
        <f t="shared" si="16"/>
        <v xml:space="preserve"> 035</v>
      </c>
    </row>
    <row r="26" spans="1:23" x14ac:dyDescent="0.2">
      <c r="A26" s="75" t="s">
        <v>39</v>
      </c>
      <c r="B26" s="215">
        <v>24</v>
      </c>
      <c r="C26" s="75" t="s">
        <v>300</v>
      </c>
      <c r="D26" s="80">
        <f t="shared" si="1"/>
        <v>422</v>
      </c>
      <c r="E26" s="80">
        <f t="shared" si="2"/>
        <v>126.74000000000001</v>
      </c>
      <c r="F26" s="343">
        <v>295.26</v>
      </c>
      <c r="G26" s="80">
        <f t="shared" si="0"/>
        <v>11</v>
      </c>
      <c r="H26" s="80">
        <f t="shared" si="3"/>
        <v>132</v>
      </c>
      <c r="I26" s="80">
        <f t="shared" si="4"/>
        <v>35</v>
      </c>
      <c r="J26" s="80">
        <f t="shared" si="5"/>
        <v>12.65</v>
      </c>
      <c r="K26" s="80">
        <f t="shared" si="6"/>
        <v>151.80000000000001</v>
      </c>
      <c r="L26" s="80">
        <f t="shared" si="7"/>
        <v>1.6500000000000004</v>
      </c>
      <c r="M26" s="80">
        <f t="shared" si="8"/>
        <v>19.800000000000004</v>
      </c>
      <c r="N26" s="224">
        <f t="shared" si="9"/>
        <v>94.95</v>
      </c>
      <c r="O26" s="296" t="str">
        <f t="shared" si="10"/>
        <v>c:\\3cx\\Snom\\jpg\\M90.jpg</v>
      </c>
      <c r="P26" s="296" t="str">
        <f t="shared" si="11"/>
        <v>https://lvoip.lu/3cx/Snom/pdf/M90.pdf</v>
      </c>
      <c r="Q26" s="80">
        <f>ROUND(Phones!D26/$Q$1,0)</f>
        <v>40</v>
      </c>
      <c r="R26" s="80">
        <f t="shared" si="12"/>
        <v>480</v>
      </c>
      <c r="S26" s="80">
        <f>ROUND(Phones!D26/$S$1,0)</f>
        <v>22</v>
      </c>
      <c r="T26" s="80">
        <f t="shared" si="13"/>
        <v>528</v>
      </c>
      <c r="U26" s="80" t="str">
        <f t="shared" si="14"/>
        <v xml:space="preserve"> 422</v>
      </c>
      <c r="V26" s="80" t="str">
        <f t="shared" si="15"/>
        <v xml:space="preserve"> 011</v>
      </c>
      <c r="W26" s="80" t="str">
        <f t="shared" si="16"/>
        <v xml:space="preserve"> 035</v>
      </c>
    </row>
    <row r="27" spans="1:23" x14ac:dyDescent="0.2">
      <c r="A27" s="75" t="s">
        <v>39</v>
      </c>
      <c r="B27" s="215">
        <v>25</v>
      </c>
      <c r="C27" s="75" t="s">
        <v>95</v>
      </c>
      <c r="D27" s="80">
        <f t="shared" si="1"/>
        <v>324</v>
      </c>
      <c r="E27" s="80">
        <f t="shared" si="2"/>
        <v>97.139999999999986</v>
      </c>
      <c r="F27" s="217">
        <v>226.86</v>
      </c>
      <c r="G27" s="80">
        <f t="shared" si="0"/>
        <v>9</v>
      </c>
      <c r="H27" s="80">
        <f t="shared" si="3"/>
        <v>108</v>
      </c>
      <c r="I27" s="80">
        <f t="shared" si="4"/>
        <v>35</v>
      </c>
      <c r="J27" s="80">
        <f t="shared" si="5"/>
        <v>10.35</v>
      </c>
      <c r="K27" s="80">
        <f t="shared" si="6"/>
        <v>124.19999999999999</v>
      </c>
      <c r="L27" s="80">
        <f t="shared" si="7"/>
        <v>1.3499999999999996</v>
      </c>
      <c r="M27" s="80">
        <f t="shared" si="8"/>
        <v>16.199999999999996</v>
      </c>
      <c r="N27" s="224">
        <f t="shared" si="9"/>
        <v>72.900000000000006</v>
      </c>
      <c r="O27" s="296" t="str">
        <f t="shared" si="10"/>
        <v>c:\\3cx\\Snom\\jpg\\M700.jpg</v>
      </c>
      <c r="P27" s="296" t="str">
        <f t="shared" si="11"/>
        <v>https://lvoip.lu/3cx/Snom/pdf/M700.pdf</v>
      </c>
      <c r="Q27" s="80">
        <f>ROUND(Phones!D27/$Q$1,0)</f>
        <v>31</v>
      </c>
      <c r="R27" s="80">
        <f t="shared" si="12"/>
        <v>372</v>
      </c>
      <c r="S27" s="80">
        <f>ROUND(Phones!D27/$S$1,0)</f>
        <v>17</v>
      </c>
      <c r="T27" s="80">
        <f t="shared" si="13"/>
        <v>408</v>
      </c>
      <c r="U27" s="80" t="str">
        <f t="shared" si="14"/>
        <v xml:space="preserve"> 324</v>
      </c>
      <c r="V27" s="80" t="str">
        <f t="shared" si="15"/>
        <v xml:space="preserve"> 009</v>
      </c>
      <c r="W27" s="80" t="str">
        <f t="shared" si="16"/>
        <v xml:space="preserve"> 035</v>
      </c>
    </row>
    <row r="28" spans="1:23" x14ac:dyDescent="0.2">
      <c r="A28" s="75" t="s">
        <v>39</v>
      </c>
      <c r="B28" s="215">
        <v>26</v>
      </c>
      <c r="C28" s="75" t="s">
        <v>299</v>
      </c>
      <c r="D28" s="80">
        <f t="shared" si="1"/>
        <v>275</v>
      </c>
      <c r="E28" s="80">
        <f t="shared" si="2"/>
        <v>82.34</v>
      </c>
      <c r="F28" s="343">
        <v>192.66</v>
      </c>
      <c r="G28" s="80">
        <f t="shared" si="0"/>
        <v>8</v>
      </c>
      <c r="H28" s="80">
        <f t="shared" si="3"/>
        <v>96</v>
      </c>
      <c r="I28" s="80">
        <f t="shared" si="4"/>
        <v>35</v>
      </c>
      <c r="J28" s="80">
        <f t="shared" si="5"/>
        <v>9.1999999999999993</v>
      </c>
      <c r="K28" s="80">
        <f t="shared" si="6"/>
        <v>110.39999999999999</v>
      </c>
      <c r="L28" s="80">
        <f t="shared" si="7"/>
        <v>1.1999999999999993</v>
      </c>
      <c r="M28" s="80">
        <f t="shared" si="8"/>
        <v>14.399999999999991</v>
      </c>
      <c r="N28" s="224">
        <f t="shared" si="9"/>
        <v>61.875</v>
      </c>
      <c r="O28" s="296" t="str">
        <f t="shared" si="10"/>
        <v>c:\\3cx\\Snom\\jpg\\M80.jpg</v>
      </c>
      <c r="P28" s="296" t="str">
        <f t="shared" si="11"/>
        <v>https://lvoip.lu/3cx/Snom/pdf/M80.pdf</v>
      </c>
      <c r="Q28" s="80">
        <f>ROUND(Phones!D28/$Q$1,0)</f>
        <v>26</v>
      </c>
      <c r="R28" s="80">
        <f t="shared" si="12"/>
        <v>312</v>
      </c>
      <c r="S28" s="80">
        <f>ROUND(Phones!D28/$S$1,0)</f>
        <v>14</v>
      </c>
      <c r="T28" s="80">
        <f t="shared" si="13"/>
        <v>336</v>
      </c>
      <c r="U28" s="80" t="str">
        <f t="shared" si="14"/>
        <v xml:space="preserve"> 275</v>
      </c>
      <c r="V28" s="80" t="str">
        <f t="shared" si="15"/>
        <v xml:space="preserve"> 008</v>
      </c>
      <c r="W28" s="80" t="str">
        <f t="shared" si="16"/>
        <v xml:space="preserve"> 035</v>
      </c>
    </row>
    <row r="29" spans="1:23" x14ac:dyDescent="0.2">
      <c r="A29" s="75" t="s">
        <v>39</v>
      </c>
      <c r="B29" s="215">
        <v>27</v>
      </c>
      <c r="C29" s="213" t="s">
        <v>281</v>
      </c>
      <c r="D29" s="80">
        <f t="shared" si="1"/>
        <v>195</v>
      </c>
      <c r="E29" s="80">
        <f t="shared" si="2"/>
        <v>58.199999999999989</v>
      </c>
      <c r="F29" s="217">
        <v>136.80000000000001</v>
      </c>
      <c r="G29" s="80">
        <f t="shared" si="0"/>
        <v>6</v>
      </c>
      <c r="H29" s="80">
        <f t="shared" si="3"/>
        <v>72</v>
      </c>
      <c r="I29" s="80">
        <f t="shared" si="4"/>
        <v>35</v>
      </c>
      <c r="J29" s="80">
        <f t="shared" si="5"/>
        <v>6.9</v>
      </c>
      <c r="K29" s="80">
        <f t="shared" si="6"/>
        <v>82.800000000000011</v>
      </c>
      <c r="L29" s="80">
        <f t="shared" si="7"/>
        <v>0.90000000000000036</v>
      </c>
      <c r="M29" s="80">
        <f t="shared" si="8"/>
        <v>10.800000000000004</v>
      </c>
      <c r="N29" s="224">
        <f t="shared" si="9"/>
        <v>43.875</v>
      </c>
      <c r="O29" s="296" t="str">
        <f t="shared" si="10"/>
        <v>c:\\3cx\\Snom\\jpg\\M325.jpg</v>
      </c>
      <c r="P29" s="296" t="str">
        <f t="shared" si="11"/>
        <v>https://lvoip.lu/3cx/Snom/pdf/M325.pdf</v>
      </c>
      <c r="Q29" s="80">
        <f>ROUND(Phones!D29/$Q$1,0)</f>
        <v>18</v>
      </c>
      <c r="R29" s="80">
        <f t="shared" si="12"/>
        <v>216</v>
      </c>
      <c r="S29" s="80">
        <f>ROUND(Phones!D29/$S$1,0)</f>
        <v>10</v>
      </c>
      <c r="T29" s="80">
        <f t="shared" si="13"/>
        <v>240</v>
      </c>
      <c r="U29" s="80" t="str">
        <f t="shared" si="14"/>
        <v xml:space="preserve"> 195</v>
      </c>
      <c r="V29" s="80" t="str">
        <f t="shared" si="15"/>
        <v xml:space="preserve"> 006</v>
      </c>
      <c r="W29" s="80" t="str">
        <f t="shared" si="16"/>
        <v xml:space="preserve"> 035</v>
      </c>
    </row>
    <row r="30" spans="1:23" x14ac:dyDescent="0.2">
      <c r="A30" s="75" t="s">
        <v>39</v>
      </c>
      <c r="B30" s="215">
        <v>28</v>
      </c>
      <c r="C30" s="75" t="s">
        <v>277</v>
      </c>
      <c r="D30" s="80">
        <f t="shared" si="1"/>
        <v>171</v>
      </c>
      <c r="E30" s="80">
        <f t="shared" si="2"/>
        <v>51.3</v>
      </c>
      <c r="F30" s="217">
        <v>119.7</v>
      </c>
      <c r="G30" s="80">
        <f t="shared" si="0"/>
        <v>6</v>
      </c>
      <c r="H30" s="80">
        <f t="shared" si="3"/>
        <v>72</v>
      </c>
      <c r="I30" s="80">
        <f t="shared" si="4"/>
        <v>35</v>
      </c>
      <c r="J30" s="80">
        <f t="shared" si="5"/>
        <v>6.9</v>
      </c>
      <c r="K30" s="80">
        <f t="shared" si="6"/>
        <v>82.800000000000011</v>
      </c>
      <c r="L30" s="80">
        <f t="shared" si="7"/>
        <v>0.90000000000000036</v>
      </c>
      <c r="M30" s="80">
        <f t="shared" si="8"/>
        <v>10.800000000000004</v>
      </c>
      <c r="N30" s="224">
        <f t="shared" si="9"/>
        <v>38.475000000000001</v>
      </c>
      <c r="O30" s="296" t="str">
        <f t="shared" si="10"/>
        <v>c:\\3cx\\Snom\\jpg\\M70.jpg</v>
      </c>
      <c r="P30" s="296" t="str">
        <f t="shared" si="11"/>
        <v>https://lvoip.lu/3cx/Snom/pdf/M70.pdf</v>
      </c>
      <c r="Q30" s="80">
        <f>ROUND(Phones!D30/$Q$1,0)</f>
        <v>16</v>
      </c>
      <c r="R30" s="80">
        <f t="shared" si="12"/>
        <v>192</v>
      </c>
      <c r="S30" s="80">
        <f>ROUND(Phones!D30/$S$1,0)</f>
        <v>9</v>
      </c>
      <c r="T30" s="80">
        <f t="shared" si="13"/>
        <v>216</v>
      </c>
      <c r="U30" s="80" t="str">
        <f t="shared" si="14"/>
        <v xml:space="preserve"> 171</v>
      </c>
      <c r="V30" s="80" t="str">
        <f t="shared" si="15"/>
        <v xml:space="preserve"> 006</v>
      </c>
      <c r="W30" s="80" t="str">
        <f t="shared" si="16"/>
        <v xml:space="preserve"> 035</v>
      </c>
    </row>
    <row r="31" spans="1:23" x14ac:dyDescent="0.2">
      <c r="A31" s="75" t="s">
        <v>39</v>
      </c>
      <c r="B31" s="215">
        <v>29</v>
      </c>
      <c r="C31" s="213" t="s">
        <v>280</v>
      </c>
      <c r="D31" s="80">
        <f t="shared" si="1"/>
        <v>161</v>
      </c>
      <c r="E31" s="80">
        <f t="shared" si="2"/>
        <v>48.14</v>
      </c>
      <c r="F31" s="217">
        <v>112.86</v>
      </c>
      <c r="G31" s="80">
        <f t="shared" si="0"/>
        <v>6</v>
      </c>
      <c r="H31" s="80">
        <f t="shared" si="3"/>
        <v>72</v>
      </c>
      <c r="I31" s="80">
        <f t="shared" si="4"/>
        <v>35</v>
      </c>
      <c r="J31" s="80">
        <f t="shared" si="5"/>
        <v>6.9</v>
      </c>
      <c r="K31" s="80">
        <f t="shared" si="6"/>
        <v>82.800000000000011</v>
      </c>
      <c r="L31" s="80">
        <f t="shared" si="7"/>
        <v>0.90000000000000036</v>
      </c>
      <c r="M31" s="80">
        <f t="shared" si="8"/>
        <v>10.800000000000004</v>
      </c>
      <c r="N31" s="224">
        <f t="shared" si="9"/>
        <v>36.225000000000001</v>
      </c>
      <c r="O31" s="296" t="str">
        <f t="shared" si="10"/>
        <v>c:\\3cx\\Snom\\jpg\\M65.jpg</v>
      </c>
      <c r="P31" s="296" t="str">
        <f t="shared" si="11"/>
        <v>https://lvoip.lu/3cx/Snom/pdf/M65.pdf</v>
      </c>
      <c r="Q31" s="80">
        <f>ROUND(Phones!D31/$Q$1,0)</f>
        <v>15</v>
      </c>
      <c r="R31" s="80">
        <f t="shared" si="12"/>
        <v>180</v>
      </c>
      <c r="S31" s="80">
        <f>ROUND(Phones!D31/$S$1,0)</f>
        <v>8</v>
      </c>
      <c r="T31" s="80">
        <f t="shared" si="13"/>
        <v>192</v>
      </c>
      <c r="U31" s="80" t="str">
        <f t="shared" si="14"/>
        <v xml:space="preserve"> 161</v>
      </c>
      <c r="V31" s="80" t="str">
        <f t="shared" si="15"/>
        <v xml:space="preserve"> 006</v>
      </c>
      <c r="W31" s="80" t="str">
        <f t="shared" si="16"/>
        <v xml:space="preserve"> 035</v>
      </c>
    </row>
    <row r="32" spans="1:23" x14ac:dyDescent="0.2">
      <c r="A32" s="75" t="s">
        <v>39</v>
      </c>
      <c r="B32" s="215">
        <v>30</v>
      </c>
      <c r="C32" s="75" t="s">
        <v>94</v>
      </c>
      <c r="D32" s="80">
        <f t="shared" si="1"/>
        <v>147</v>
      </c>
      <c r="E32" s="80">
        <f t="shared" si="2"/>
        <v>44.400000000000006</v>
      </c>
      <c r="F32" s="217">
        <v>102.6</v>
      </c>
      <c r="G32" s="80">
        <f t="shared" si="0"/>
        <v>5</v>
      </c>
      <c r="H32" s="80">
        <f t="shared" si="3"/>
        <v>60</v>
      </c>
      <c r="I32" s="80">
        <f t="shared" si="4"/>
        <v>35</v>
      </c>
      <c r="J32" s="80">
        <f t="shared" si="5"/>
        <v>5.75</v>
      </c>
      <c r="K32" s="80">
        <f t="shared" si="6"/>
        <v>69</v>
      </c>
      <c r="L32" s="80">
        <f t="shared" si="7"/>
        <v>0.75</v>
      </c>
      <c r="M32" s="80">
        <f t="shared" si="8"/>
        <v>9</v>
      </c>
      <c r="N32" s="224">
        <f t="shared" si="9"/>
        <v>33.075000000000003</v>
      </c>
      <c r="O32" s="296" t="str">
        <f t="shared" si="10"/>
        <v>c:\\3cx\\Snom\\jpg\\M300.jpg</v>
      </c>
      <c r="P32" s="296" t="str">
        <f t="shared" si="11"/>
        <v>https://lvoip.lu/3cx/Snom/pdf/M300.pdf</v>
      </c>
      <c r="Q32" s="80">
        <f>ROUND(Phones!D32/$Q$1,0)</f>
        <v>14</v>
      </c>
      <c r="R32" s="80">
        <f t="shared" si="12"/>
        <v>168</v>
      </c>
      <c r="S32" s="80">
        <f>ROUND(Phones!D32/$S$1,0)</f>
        <v>8</v>
      </c>
      <c r="T32" s="80">
        <f t="shared" si="13"/>
        <v>192</v>
      </c>
      <c r="U32" s="80" t="str">
        <f t="shared" si="14"/>
        <v xml:space="preserve"> 147</v>
      </c>
      <c r="V32" s="80" t="str">
        <f t="shared" si="15"/>
        <v xml:space="preserve"> 005</v>
      </c>
      <c r="W32" s="80" t="str">
        <f t="shared" si="16"/>
        <v xml:space="preserve"> 035</v>
      </c>
    </row>
    <row r="33" spans="1:23" x14ac:dyDescent="0.2">
      <c r="A33" s="75" t="s">
        <v>39</v>
      </c>
      <c r="B33" s="215">
        <v>31</v>
      </c>
      <c r="C33" s="75" t="s">
        <v>96</v>
      </c>
      <c r="D33" s="80">
        <f t="shared" si="1"/>
        <v>147</v>
      </c>
      <c r="E33" s="80">
        <f t="shared" si="2"/>
        <v>44.400000000000006</v>
      </c>
      <c r="F33" s="217">
        <v>102.6</v>
      </c>
      <c r="G33" s="80">
        <f t="shared" si="0"/>
        <v>5</v>
      </c>
      <c r="H33" s="80">
        <f t="shared" si="3"/>
        <v>60</v>
      </c>
      <c r="I33" s="80">
        <f t="shared" si="4"/>
        <v>35</v>
      </c>
      <c r="J33" s="80">
        <f t="shared" si="5"/>
        <v>5.75</v>
      </c>
      <c r="K33" s="80">
        <f t="shared" si="6"/>
        <v>69</v>
      </c>
      <c r="L33" s="80">
        <f t="shared" si="7"/>
        <v>0.75</v>
      </c>
      <c r="M33" s="80">
        <f t="shared" si="8"/>
        <v>9</v>
      </c>
      <c r="N33" s="224">
        <f t="shared" si="9"/>
        <v>33.075000000000003</v>
      </c>
      <c r="O33" s="296" t="str">
        <f t="shared" si="10"/>
        <v>c:\\3cx\\Snom\\jpg\\M5.jpg</v>
      </c>
      <c r="P33" s="296" t="str">
        <f t="shared" si="11"/>
        <v>https://lvoip.lu/3cx/Snom/pdf/M5.pdf</v>
      </c>
      <c r="Q33" s="80">
        <f>ROUND(Phones!D33/$Q$1,0)</f>
        <v>14</v>
      </c>
      <c r="R33" s="80">
        <f t="shared" si="12"/>
        <v>168</v>
      </c>
      <c r="S33" s="80">
        <f>ROUND(Phones!D33/$S$1,0)</f>
        <v>8</v>
      </c>
      <c r="T33" s="80">
        <f t="shared" si="13"/>
        <v>192</v>
      </c>
      <c r="U33" s="80" t="str">
        <f t="shared" si="14"/>
        <v xml:space="preserve"> 147</v>
      </c>
      <c r="V33" s="80" t="str">
        <f t="shared" si="15"/>
        <v xml:space="preserve"> 005</v>
      </c>
      <c r="W33" s="80" t="str">
        <f t="shared" si="16"/>
        <v xml:space="preserve"> 035</v>
      </c>
    </row>
    <row r="34" spans="1:23" x14ac:dyDescent="0.2">
      <c r="A34" s="75" t="s">
        <v>39</v>
      </c>
      <c r="B34" s="215">
        <v>32</v>
      </c>
      <c r="C34" s="213" t="s">
        <v>251</v>
      </c>
      <c r="D34" s="80">
        <f t="shared" si="1"/>
        <v>106</v>
      </c>
      <c r="E34" s="80">
        <f t="shared" si="2"/>
        <v>31.900000000000006</v>
      </c>
      <c r="F34" s="217">
        <v>74.099999999999994</v>
      </c>
      <c r="G34" s="80">
        <f t="shared" si="0"/>
        <v>5</v>
      </c>
      <c r="H34" s="80">
        <f t="shared" si="3"/>
        <v>60</v>
      </c>
      <c r="I34" s="80">
        <f t="shared" si="4"/>
        <v>25</v>
      </c>
      <c r="J34" s="80">
        <f t="shared" si="5"/>
        <v>5.75</v>
      </c>
      <c r="K34" s="80">
        <f t="shared" si="6"/>
        <v>69</v>
      </c>
      <c r="L34" s="80">
        <f t="shared" si="7"/>
        <v>0.75</v>
      </c>
      <c r="M34" s="80">
        <f t="shared" si="8"/>
        <v>9</v>
      </c>
      <c r="N34" s="224">
        <f t="shared" si="9"/>
        <v>23.85</v>
      </c>
      <c r="O34" s="296" t="str">
        <f t="shared" si="10"/>
        <v>c:\\3cx\\Snom\\jpg\\M215-SC.jpg</v>
      </c>
      <c r="P34" s="296" t="str">
        <f t="shared" si="11"/>
        <v>https://lvoip.lu/3cx/Snom/pdf/M215-SC.pdf</v>
      </c>
      <c r="Q34" s="80">
        <f>ROUND(Phones!D34/$Q$1,0)</f>
        <v>10</v>
      </c>
      <c r="R34" s="80">
        <f t="shared" si="12"/>
        <v>120</v>
      </c>
      <c r="S34" s="80">
        <f>ROUND(Phones!D34/$S$1,0)</f>
        <v>5</v>
      </c>
      <c r="T34" s="80">
        <f t="shared" si="13"/>
        <v>120</v>
      </c>
      <c r="U34" s="80" t="str">
        <f t="shared" si="14"/>
        <v xml:space="preserve"> 106</v>
      </c>
      <c r="V34" s="80" t="str">
        <f t="shared" si="15"/>
        <v xml:space="preserve"> 005</v>
      </c>
      <c r="W34" s="80" t="str">
        <f t="shared" si="16"/>
        <v xml:space="preserve"> 025</v>
      </c>
    </row>
    <row r="35" spans="1:23" x14ac:dyDescent="0.2">
      <c r="A35" s="75" t="s">
        <v>39</v>
      </c>
      <c r="B35" s="215">
        <v>33</v>
      </c>
      <c r="C35" s="213" t="s">
        <v>282</v>
      </c>
      <c r="D35" s="80">
        <f t="shared" si="1"/>
        <v>106</v>
      </c>
      <c r="E35" s="80">
        <f t="shared" si="2"/>
        <v>31.900000000000006</v>
      </c>
      <c r="F35" s="217">
        <v>74.099999999999994</v>
      </c>
      <c r="G35" s="80">
        <f t="shared" ref="G35:G47" si="17">VLOOKUP(D35,PrixMaint,2,TRUE)</f>
        <v>5</v>
      </c>
      <c r="H35" s="80">
        <f t="shared" si="3"/>
        <v>60</v>
      </c>
      <c r="I35" s="80">
        <f t="shared" si="4"/>
        <v>25</v>
      </c>
      <c r="J35" s="80">
        <f t="shared" si="5"/>
        <v>5.75</v>
      </c>
      <c r="K35" s="80">
        <f t="shared" si="6"/>
        <v>69</v>
      </c>
      <c r="L35" s="80">
        <f t="shared" si="7"/>
        <v>0.75</v>
      </c>
      <c r="M35" s="80">
        <f t="shared" si="8"/>
        <v>9</v>
      </c>
      <c r="N35" s="224">
        <f t="shared" si="9"/>
        <v>23.85</v>
      </c>
      <c r="O35" s="296" t="str">
        <f t="shared" si="10"/>
        <v>c:\\3cx\\Snom\\jpg\\M25.jpg</v>
      </c>
      <c r="P35" s="296" t="str">
        <f t="shared" si="11"/>
        <v>https://lvoip.lu/3cx/Snom/pdf/M25.pdf</v>
      </c>
      <c r="Q35" s="80">
        <f>ROUND(Phones!D35/$Q$1,0)</f>
        <v>10</v>
      </c>
      <c r="R35" s="80">
        <f t="shared" si="12"/>
        <v>120</v>
      </c>
      <c r="S35" s="80">
        <f>ROUND(Phones!D35/$S$1,0)</f>
        <v>5</v>
      </c>
      <c r="T35" s="80">
        <f t="shared" si="13"/>
        <v>120</v>
      </c>
      <c r="U35" s="80" t="str">
        <f t="shared" si="14"/>
        <v xml:space="preserve"> 106</v>
      </c>
      <c r="V35" s="80" t="str">
        <f t="shared" si="15"/>
        <v xml:space="preserve"> 005</v>
      </c>
      <c r="W35" s="80" t="str">
        <f t="shared" si="16"/>
        <v xml:space="preserve"> 025</v>
      </c>
    </row>
    <row r="36" spans="1:23" x14ac:dyDescent="0.2">
      <c r="A36" s="75" t="s">
        <v>39</v>
      </c>
      <c r="B36" s="215">
        <v>34</v>
      </c>
      <c r="C36" s="213" t="s">
        <v>252</v>
      </c>
      <c r="D36" s="80">
        <f t="shared" si="1"/>
        <v>57</v>
      </c>
      <c r="E36" s="80">
        <f t="shared" si="2"/>
        <v>17.100000000000001</v>
      </c>
      <c r="F36" s="217">
        <v>39.9</v>
      </c>
      <c r="G36" s="80">
        <f t="shared" si="17"/>
        <v>4</v>
      </c>
      <c r="H36" s="80">
        <f t="shared" si="3"/>
        <v>48</v>
      </c>
      <c r="I36" s="80">
        <f t="shared" si="4"/>
        <v>15</v>
      </c>
      <c r="J36" s="80">
        <f t="shared" si="5"/>
        <v>4.5999999999999996</v>
      </c>
      <c r="K36" s="80">
        <f t="shared" si="6"/>
        <v>55.199999999999996</v>
      </c>
      <c r="L36" s="80">
        <f t="shared" si="7"/>
        <v>0.59999999999999964</v>
      </c>
      <c r="M36" s="80">
        <f t="shared" si="8"/>
        <v>7.1999999999999957</v>
      </c>
      <c r="N36" s="224">
        <f t="shared" si="9"/>
        <v>12.825000000000001</v>
      </c>
      <c r="O36" s="296" t="str">
        <f t="shared" si="10"/>
        <v>c:\\3cx\\Snom\\jpg\\M15-SC.jpg</v>
      </c>
      <c r="P36" s="296" t="str">
        <f t="shared" si="11"/>
        <v>https://lvoip.lu/3cx/Snom/pdf/M15-SC.pdf</v>
      </c>
      <c r="Q36" s="80">
        <f>ROUND(Phones!D36/$Q$1,0)</f>
        <v>5</v>
      </c>
      <c r="R36" s="80">
        <f t="shared" si="12"/>
        <v>60</v>
      </c>
      <c r="S36" s="80">
        <f>ROUND(Phones!D36/$S$1,0)</f>
        <v>3</v>
      </c>
      <c r="T36" s="80">
        <f t="shared" si="13"/>
        <v>72</v>
      </c>
      <c r="U36" s="80" t="str">
        <f t="shared" si="14"/>
        <v xml:space="preserve"> 057</v>
      </c>
      <c r="V36" s="80" t="str">
        <f t="shared" si="15"/>
        <v xml:space="preserve"> 004</v>
      </c>
      <c r="W36" s="80" t="str">
        <f t="shared" si="16"/>
        <v xml:space="preserve"> 015</v>
      </c>
    </row>
    <row r="37" spans="1:23" x14ac:dyDescent="0.2">
      <c r="A37" s="75" t="s">
        <v>39</v>
      </c>
      <c r="B37" s="215">
        <v>35</v>
      </c>
      <c r="C37" s="213" t="s">
        <v>207</v>
      </c>
      <c r="D37" s="80">
        <f t="shared" si="1"/>
        <v>261</v>
      </c>
      <c r="E37" s="80">
        <f t="shared" si="2"/>
        <v>78.599999999999994</v>
      </c>
      <c r="F37" s="217">
        <v>182.4</v>
      </c>
      <c r="G37" s="80">
        <f t="shared" si="17"/>
        <v>8</v>
      </c>
      <c r="H37" s="80">
        <f t="shared" si="3"/>
        <v>96</v>
      </c>
      <c r="I37" s="80">
        <f t="shared" si="4"/>
        <v>35</v>
      </c>
      <c r="J37" s="80">
        <f t="shared" si="5"/>
        <v>9.1999999999999993</v>
      </c>
      <c r="K37" s="80">
        <f t="shared" si="6"/>
        <v>110.39999999999999</v>
      </c>
      <c r="L37" s="80">
        <f t="shared" si="7"/>
        <v>1.1999999999999993</v>
      </c>
      <c r="M37" s="80">
        <f t="shared" si="8"/>
        <v>14.399999999999991</v>
      </c>
      <c r="N37" s="224">
        <f t="shared" si="9"/>
        <v>58.725000000000001</v>
      </c>
      <c r="O37" s="296" t="str">
        <f t="shared" si="10"/>
        <v>c:\\3cx\\Snom\\jpg\\C520.jpg</v>
      </c>
      <c r="P37" s="296" t="str">
        <f t="shared" si="11"/>
        <v>https://lvoip.lu/3cx/Snom/pdf/C520.pdf</v>
      </c>
      <c r="Q37" s="80">
        <f>ROUND(Phones!D37/$Q$1,0)</f>
        <v>25</v>
      </c>
      <c r="R37" s="80">
        <f t="shared" si="12"/>
        <v>300</v>
      </c>
      <c r="S37" s="80">
        <f>ROUND(Phones!D37/$S$1,0)</f>
        <v>14</v>
      </c>
      <c r="T37" s="80">
        <f t="shared" si="13"/>
        <v>336</v>
      </c>
      <c r="U37" s="80" t="str">
        <f t="shared" si="14"/>
        <v xml:space="preserve"> 261</v>
      </c>
      <c r="V37" s="80" t="str">
        <f t="shared" si="15"/>
        <v xml:space="preserve"> 008</v>
      </c>
      <c r="W37" s="80" t="str">
        <f t="shared" si="16"/>
        <v xml:space="preserve"> 035</v>
      </c>
    </row>
    <row r="38" spans="1:23" x14ac:dyDescent="0.2">
      <c r="A38" s="75" t="s">
        <v>39</v>
      </c>
      <c r="B38" s="215">
        <v>36</v>
      </c>
      <c r="C38" s="213" t="s">
        <v>253</v>
      </c>
      <c r="D38" s="80">
        <f t="shared" si="1"/>
        <v>64</v>
      </c>
      <c r="E38" s="80">
        <f t="shared" si="2"/>
        <v>19.54</v>
      </c>
      <c r="F38" s="217">
        <v>44.46</v>
      </c>
      <c r="G38" s="80">
        <f t="shared" si="17"/>
        <v>4</v>
      </c>
      <c r="H38" s="80">
        <f t="shared" si="3"/>
        <v>48</v>
      </c>
      <c r="I38" s="80">
        <f t="shared" si="4"/>
        <v>15</v>
      </c>
      <c r="J38" s="80">
        <f t="shared" si="5"/>
        <v>4.5999999999999996</v>
      </c>
      <c r="K38" s="80">
        <f t="shared" si="6"/>
        <v>55.199999999999996</v>
      </c>
      <c r="L38" s="80">
        <f t="shared" si="7"/>
        <v>0.59999999999999964</v>
      </c>
      <c r="M38" s="80">
        <f t="shared" si="8"/>
        <v>7.1999999999999957</v>
      </c>
      <c r="N38" s="224">
        <f t="shared" si="9"/>
        <v>14.4</v>
      </c>
      <c r="O38" s="296" t="str">
        <f t="shared" si="10"/>
        <v>c:\\3cx\\Snom\\jpg\\C520-MIC.jpg</v>
      </c>
      <c r="P38" s="296" t="str">
        <f t="shared" si="11"/>
        <v>https://lvoip.lu/3cx/Snom/pdf/C520-MIC.pdf</v>
      </c>
      <c r="Q38" s="80">
        <f>ROUND(Phones!D38/$Q$1,0)</f>
        <v>6</v>
      </c>
      <c r="R38" s="80">
        <f t="shared" si="12"/>
        <v>72</v>
      </c>
      <c r="S38" s="80">
        <f>ROUND(Phones!D38/$S$1,0)</f>
        <v>3</v>
      </c>
      <c r="T38" s="80">
        <f t="shared" si="13"/>
        <v>72</v>
      </c>
      <c r="U38" s="80" t="str">
        <f t="shared" si="14"/>
        <v xml:space="preserve"> 064</v>
      </c>
      <c r="V38" s="80" t="str">
        <f t="shared" si="15"/>
        <v xml:space="preserve"> 004</v>
      </c>
      <c r="W38" s="80" t="str">
        <f t="shared" si="16"/>
        <v xml:space="preserve"> 015</v>
      </c>
    </row>
    <row r="39" spans="1:23" x14ac:dyDescent="0.2">
      <c r="A39" s="75" t="s">
        <v>39</v>
      </c>
      <c r="B39" s="215">
        <v>37</v>
      </c>
      <c r="C39" s="213" t="s">
        <v>283</v>
      </c>
      <c r="D39" s="80">
        <f t="shared" si="1"/>
        <v>179</v>
      </c>
      <c r="E39" s="80">
        <f t="shared" si="2"/>
        <v>53.599999999999994</v>
      </c>
      <c r="F39" s="342">
        <v>125.4</v>
      </c>
      <c r="G39" s="80">
        <f t="shared" si="17"/>
        <v>6</v>
      </c>
      <c r="H39" s="80">
        <f t="shared" si="3"/>
        <v>72</v>
      </c>
      <c r="I39" s="80">
        <f t="shared" si="4"/>
        <v>35</v>
      </c>
      <c r="J39" s="80">
        <f t="shared" si="5"/>
        <v>6.9</v>
      </c>
      <c r="K39" s="80">
        <f t="shared" si="6"/>
        <v>82.800000000000011</v>
      </c>
      <c r="L39" s="80">
        <f t="shared" si="7"/>
        <v>0.90000000000000036</v>
      </c>
      <c r="M39" s="80">
        <f t="shared" si="8"/>
        <v>10.800000000000004</v>
      </c>
      <c r="N39" s="224">
        <f t="shared" si="9"/>
        <v>40.274999999999999</v>
      </c>
      <c r="O39" s="296" t="str">
        <f t="shared" si="10"/>
        <v>c:\\3cx\\Snom\\jpg\\C52-SP.jpg</v>
      </c>
      <c r="P39" s="296" t="str">
        <f t="shared" si="11"/>
        <v>https://lvoip.lu/3cx/Snom/pdf/C52-SP.pdf</v>
      </c>
      <c r="Q39" s="80">
        <f>ROUND(Phones!D39/$Q$1,0)</f>
        <v>17</v>
      </c>
      <c r="R39" s="80">
        <f t="shared" si="12"/>
        <v>204</v>
      </c>
      <c r="S39" s="80">
        <f>ROUND(Phones!D39/$S$1,0)</f>
        <v>9</v>
      </c>
      <c r="T39" s="80">
        <f t="shared" si="13"/>
        <v>216</v>
      </c>
      <c r="U39" s="80" t="str">
        <f t="shared" si="14"/>
        <v xml:space="preserve"> 179</v>
      </c>
      <c r="V39" s="80" t="str">
        <f t="shared" si="15"/>
        <v xml:space="preserve"> 006</v>
      </c>
      <c r="W39" s="80" t="str">
        <f t="shared" si="16"/>
        <v xml:space="preserve"> 035</v>
      </c>
    </row>
    <row r="40" spans="1:23" x14ac:dyDescent="0.2">
      <c r="A40" s="75" t="s">
        <v>39</v>
      </c>
      <c r="B40" s="215">
        <v>38</v>
      </c>
      <c r="C40" s="213" t="s">
        <v>254</v>
      </c>
      <c r="D40" s="80">
        <f t="shared" si="1"/>
        <v>178</v>
      </c>
      <c r="E40" s="80">
        <f t="shared" si="2"/>
        <v>53.739999999999995</v>
      </c>
      <c r="F40" s="217">
        <v>124.26</v>
      </c>
      <c r="G40" s="80">
        <f t="shared" si="17"/>
        <v>6</v>
      </c>
      <c r="H40" s="80">
        <f t="shared" si="3"/>
        <v>72</v>
      </c>
      <c r="I40" s="80">
        <f t="shared" si="4"/>
        <v>35</v>
      </c>
      <c r="J40" s="80">
        <f t="shared" si="5"/>
        <v>6.9</v>
      </c>
      <c r="K40" s="80">
        <f t="shared" si="6"/>
        <v>82.800000000000011</v>
      </c>
      <c r="L40" s="80">
        <f t="shared" si="7"/>
        <v>0.90000000000000036</v>
      </c>
      <c r="M40" s="80">
        <f t="shared" si="8"/>
        <v>10.800000000000004</v>
      </c>
      <c r="N40" s="224">
        <f t="shared" si="9"/>
        <v>40.050000000000004</v>
      </c>
      <c r="O40" s="296" t="str">
        <f t="shared" si="10"/>
        <v>c:\\3cx\\Snom\\jpg\\A170-CONV.jpg</v>
      </c>
      <c r="P40" s="296" t="str">
        <f t="shared" si="11"/>
        <v>https://lvoip.lu/3cx/Snom/pdf/A170-CONV.pdf</v>
      </c>
      <c r="Q40" s="80">
        <f>ROUND(Phones!D40/$Q$1,0)</f>
        <v>17</v>
      </c>
      <c r="R40" s="80">
        <f t="shared" si="12"/>
        <v>204</v>
      </c>
      <c r="S40" s="80">
        <f>ROUND(Phones!D40/$S$1,0)</f>
        <v>9</v>
      </c>
      <c r="T40" s="80">
        <f t="shared" si="13"/>
        <v>216</v>
      </c>
      <c r="U40" s="80" t="str">
        <f t="shared" si="14"/>
        <v xml:space="preserve"> 178</v>
      </c>
      <c r="V40" s="80" t="str">
        <f t="shared" si="15"/>
        <v xml:space="preserve"> 006</v>
      </c>
      <c r="W40" s="80" t="str">
        <f t="shared" si="16"/>
        <v xml:space="preserve"> 035</v>
      </c>
    </row>
    <row r="41" spans="1:23" x14ac:dyDescent="0.2">
      <c r="A41" s="75" t="s">
        <v>39</v>
      </c>
      <c r="B41" s="215">
        <v>39</v>
      </c>
      <c r="C41" s="213" t="s">
        <v>255</v>
      </c>
      <c r="D41" s="80">
        <f t="shared" si="1"/>
        <v>145</v>
      </c>
      <c r="E41" s="80">
        <f t="shared" si="2"/>
        <v>43.540000000000006</v>
      </c>
      <c r="F41" s="217">
        <v>101.46</v>
      </c>
      <c r="G41" s="80">
        <f t="shared" si="17"/>
        <v>5</v>
      </c>
      <c r="H41" s="80">
        <f t="shared" si="3"/>
        <v>60</v>
      </c>
      <c r="I41" s="80">
        <f t="shared" si="4"/>
        <v>35</v>
      </c>
      <c r="J41" s="80">
        <f t="shared" si="5"/>
        <v>5.75</v>
      </c>
      <c r="K41" s="80">
        <f t="shared" si="6"/>
        <v>69</v>
      </c>
      <c r="L41" s="80">
        <f t="shared" si="7"/>
        <v>0.75</v>
      </c>
      <c r="M41" s="80">
        <f t="shared" si="8"/>
        <v>9</v>
      </c>
      <c r="N41" s="224">
        <f t="shared" si="9"/>
        <v>32.625</v>
      </c>
      <c r="O41" s="296" t="str">
        <f t="shared" si="10"/>
        <v>c:\\3cx\\Snom\\jpg\\A150-OTE.jpg</v>
      </c>
      <c r="P41" s="296" t="str">
        <f t="shared" si="11"/>
        <v>https://lvoip.lu/3cx/Snom/pdf/A150-OTE.pdf</v>
      </c>
      <c r="Q41" s="80">
        <f>ROUND(Phones!D41/$Q$1,0)</f>
        <v>14</v>
      </c>
      <c r="R41" s="80">
        <f t="shared" si="12"/>
        <v>168</v>
      </c>
      <c r="S41" s="80">
        <f>ROUND(Phones!D41/$S$1,0)</f>
        <v>8</v>
      </c>
      <c r="T41" s="80">
        <f t="shared" si="13"/>
        <v>192</v>
      </c>
      <c r="U41" s="80" t="str">
        <f t="shared" si="14"/>
        <v xml:space="preserve"> 145</v>
      </c>
      <c r="V41" s="80" t="str">
        <f t="shared" si="15"/>
        <v xml:space="preserve"> 005</v>
      </c>
      <c r="W41" s="80" t="str">
        <f t="shared" si="16"/>
        <v xml:space="preserve"> 035</v>
      </c>
    </row>
    <row r="42" spans="1:23" x14ac:dyDescent="0.2">
      <c r="A42" s="75" t="s">
        <v>39</v>
      </c>
      <c r="B42" s="215">
        <v>40</v>
      </c>
      <c r="C42" s="213" t="s">
        <v>284</v>
      </c>
      <c r="D42" s="80">
        <f t="shared" si="1"/>
        <v>54</v>
      </c>
      <c r="E42" s="80">
        <f t="shared" si="2"/>
        <v>16.380000000000003</v>
      </c>
      <c r="F42" s="217">
        <v>37.619999999999997</v>
      </c>
      <c r="G42" s="80">
        <f t="shared" si="17"/>
        <v>4</v>
      </c>
      <c r="H42" s="80">
        <f t="shared" si="3"/>
        <v>48</v>
      </c>
      <c r="I42" s="80">
        <f t="shared" si="4"/>
        <v>15</v>
      </c>
      <c r="J42" s="80">
        <f t="shared" si="5"/>
        <v>4.5999999999999996</v>
      </c>
      <c r="K42" s="80">
        <f t="shared" si="6"/>
        <v>55.199999999999996</v>
      </c>
      <c r="L42" s="80">
        <f t="shared" si="7"/>
        <v>0.59999999999999964</v>
      </c>
      <c r="M42" s="80">
        <f t="shared" si="8"/>
        <v>7.1999999999999957</v>
      </c>
      <c r="N42" s="224">
        <f t="shared" si="9"/>
        <v>12.15</v>
      </c>
      <c r="O42" s="296" t="str">
        <f t="shared" si="10"/>
        <v>c:\\3cx\\Snom\\jpg\\A100M.jpg</v>
      </c>
      <c r="P42" s="296" t="str">
        <f t="shared" si="11"/>
        <v>https://lvoip.lu/3cx/Snom/pdf/A100M.pdf</v>
      </c>
      <c r="Q42" s="80">
        <f>ROUND(Phones!D42/$Q$1,0)</f>
        <v>5</v>
      </c>
      <c r="R42" s="80">
        <f t="shared" si="12"/>
        <v>60</v>
      </c>
      <c r="S42" s="80">
        <f>ROUND(Phones!D42/$S$1,0)</f>
        <v>3</v>
      </c>
      <c r="T42" s="80">
        <f t="shared" si="13"/>
        <v>72</v>
      </c>
      <c r="U42" s="80" t="str">
        <f t="shared" si="14"/>
        <v xml:space="preserve"> 054</v>
      </c>
      <c r="V42" s="80" t="str">
        <f t="shared" si="15"/>
        <v xml:space="preserve"> 004</v>
      </c>
      <c r="W42" s="80" t="str">
        <f t="shared" si="16"/>
        <v xml:space="preserve"> 015</v>
      </c>
    </row>
    <row r="43" spans="1:23" x14ac:dyDescent="0.2">
      <c r="A43" s="75" t="s">
        <v>39</v>
      </c>
      <c r="B43" s="215">
        <v>41</v>
      </c>
      <c r="C43" s="75" t="s">
        <v>97</v>
      </c>
      <c r="D43" s="80">
        <f t="shared" si="1"/>
        <v>62</v>
      </c>
      <c r="E43" s="80">
        <f t="shared" si="2"/>
        <v>18.68</v>
      </c>
      <c r="F43" s="217">
        <v>43.32</v>
      </c>
      <c r="G43" s="80">
        <f t="shared" si="17"/>
        <v>4</v>
      </c>
      <c r="H43" s="80">
        <f t="shared" si="3"/>
        <v>48</v>
      </c>
      <c r="I43" s="80">
        <f t="shared" si="4"/>
        <v>15</v>
      </c>
      <c r="J43" s="80">
        <f t="shared" si="5"/>
        <v>4.5999999999999996</v>
      </c>
      <c r="K43" s="80">
        <f t="shared" si="6"/>
        <v>55.199999999999996</v>
      </c>
      <c r="L43" s="80">
        <f t="shared" si="7"/>
        <v>0.59999999999999964</v>
      </c>
      <c r="M43" s="80">
        <f t="shared" si="8"/>
        <v>7.1999999999999957</v>
      </c>
      <c r="N43" s="224">
        <f t="shared" si="9"/>
        <v>13.950000000000001</v>
      </c>
      <c r="O43" s="296" t="str">
        <f t="shared" si="10"/>
        <v>c:\\3cx\\Snom\\jpg\\A100D.jpg</v>
      </c>
      <c r="P43" s="296" t="str">
        <f t="shared" si="11"/>
        <v>https://lvoip.lu/3cx/Snom/pdf/A100D.pdf</v>
      </c>
      <c r="Q43" s="80">
        <f>ROUND(Phones!D43/$Q$1,0)</f>
        <v>6</v>
      </c>
      <c r="R43" s="80">
        <f t="shared" si="12"/>
        <v>72</v>
      </c>
      <c r="S43" s="80">
        <f>ROUND(Phones!D43/$S$1,0)</f>
        <v>3</v>
      </c>
      <c r="T43" s="80">
        <f t="shared" si="13"/>
        <v>72</v>
      </c>
      <c r="U43" s="80" t="str">
        <f t="shared" si="14"/>
        <v xml:space="preserve"> 062</v>
      </c>
      <c r="V43" s="80" t="str">
        <f t="shared" si="15"/>
        <v xml:space="preserve"> 004</v>
      </c>
      <c r="W43" s="80" t="str">
        <f t="shared" si="16"/>
        <v xml:space="preserve"> 015</v>
      </c>
    </row>
    <row r="44" spans="1:23" x14ac:dyDescent="0.2">
      <c r="A44" s="75" t="s">
        <v>39</v>
      </c>
      <c r="B44" s="215">
        <v>42</v>
      </c>
      <c r="C44" s="213" t="s">
        <v>256</v>
      </c>
      <c r="D44" s="80">
        <f t="shared" si="1"/>
        <v>47</v>
      </c>
      <c r="E44" s="80">
        <f t="shared" si="2"/>
        <v>13.939999999999998</v>
      </c>
      <c r="F44" s="217">
        <v>33.06</v>
      </c>
      <c r="G44" s="80">
        <f t="shared" si="17"/>
        <v>4</v>
      </c>
      <c r="H44" s="80">
        <f t="shared" si="3"/>
        <v>48</v>
      </c>
      <c r="I44" s="80">
        <f t="shared" si="4"/>
        <v>15</v>
      </c>
      <c r="J44" s="80">
        <f t="shared" si="5"/>
        <v>4.5999999999999996</v>
      </c>
      <c r="K44" s="80">
        <f t="shared" si="6"/>
        <v>55.199999999999996</v>
      </c>
      <c r="L44" s="80">
        <f t="shared" si="7"/>
        <v>0.59999999999999964</v>
      </c>
      <c r="M44" s="80">
        <f t="shared" si="8"/>
        <v>7.1999999999999957</v>
      </c>
      <c r="N44" s="224">
        <f t="shared" si="9"/>
        <v>10.575000000000001</v>
      </c>
      <c r="O44" s="296" t="str">
        <f t="shared" si="10"/>
        <v>c:\\3cx\\Snom\\jpg\\A230-DECT-Dongle.jpg</v>
      </c>
      <c r="P44" s="296" t="str">
        <f t="shared" si="11"/>
        <v>https://lvoip.lu/3cx/Snom/pdf/A230-DECT-Dongle.pdf</v>
      </c>
      <c r="Q44" s="80">
        <f>ROUND(Phones!D44/$Q$1,0)</f>
        <v>4</v>
      </c>
      <c r="R44" s="80">
        <f t="shared" si="12"/>
        <v>48</v>
      </c>
      <c r="S44" s="80">
        <f>ROUND(Phones!D44/$S$1,0)</f>
        <v>2</v>
      </c>
      <c r="T44" s="80">
        <f t="shared" si="13"/>
        <v>48</v>
      </c>
      <c r="U44" s="80" t="str">
        <f t="shared" si="14"/>
        <v xml:space="preserve"> 047</v>
      </c>
      <c r="V44" s="80" t="str">
        <f t="shared" si="15"/>
        <v xml:space="preserve"> 004</v>
      </c>
      <c r="W44" s="80" t="str">
        <f t="shared" si="16"/>
        <v xml:space="preserve"> 015</v>
      </c>
    </row>
    <row r="45" spans="1:23" x14ac:dyDescent="0.2">
      <c r="A45" s="75" t="s">
        <v>39</v>
      </c>
      <c r="B45" s="215">
        <v>43</v>
      </c>
      <c r="C45" s="213" t="s">
        <v>257</v>
      </c>
      <c r="D45" s="80">
        <f t="shared" si="1"/>
        <v>39</v>
      </c>
      <c r="E45" s="80">
        <f t="shared" si="2"/>
        <v>11.64</v>
      </c>
      <c r="F45" s="217">
        <v>27.36</v>
      </c>
      <c r="G45" s="80">
        <f t="shared" si="17"/>
        <v>4</v>
      </c>
      <c r="H45" s="80">
        <f t="shared" si="3"/>
        <v>48</v>
      </c>
      <c r="I45" s="80">
        <f t="shared" si="4"/>
        <v>15</v>
      </c>
      <c r="J45" s="80">
        <f t="shared" si="5"/>
        <v>4.5999999999999996</v>
      </c>
      <c r="K45" s="80">
        <f t="shared" si="6"/>
        <v>55.199999999999996</v>
      </c>
      <c r="L45" s="80">
        <f t="shared" si="7"/>
        <v>0.59999999999999964</v>
      </c>
      <c r="M45" s="80">
        <f t="shared" si="8"/>
        <v>7.1999999999999957</v>
      </c>
      <c r="N45" s="224">
        <f t="shared" si="9"/>
        <v>8.7750000000000004</v>
      </c>
      <c r="O45" s="296" t="str">
        <f t="shared" si="10"/>
        <v>c:\\3cx\\Snom\\jpg\\A5-PoE-injector.jpg</v>
      </c>
      <c r="P45" s="296" t="str">
        <f t="shared" si="11"/>
        <v>https://lvoip.lu/3cx/Snom/pdf/A5-PoE-injector.pdf</v>
      </c>
      <c r="Q45" s="80">
        <f>ROUND(Phones!D45/$Q$1,0)</f>
        <v>4</v>
      </c>
      <c r="R45" s="80">
        <f t="shared" si="12"/>
        <v>48</v>
      </c>
      <c r="S45" s="80">
        <f>ROUND(Phones!D45/$S$1,0)</f>
        <v>2</v>
      </c>
      <c r="T45" s="80">
        <f t="shared" si="13"/>
        <v>48</v>
      </c>
      <c r="U45" s="80" t="str">
        <f t="shared" si="14"/>
        <v xml:space="preserve"> 039</v>
      </c>
      <c r="V45" s="80" t="str">
        <f t="shared" si="15"/>
        <v xml:space="preserve"> 004</v>
      </c>
      <c r="W45" s="80" t="str">
        <f t="shared" si="16"/>
        <v xml:space="preserve"> 015</v>
      </c>
    </row>
    <row r="46" spans="1:23" x14ac:dyDescent="0.2">
      <c r="A46" s="75" t="s">
        <v>39</v>
      </c>
      <c r="B46" s="215">
        <v>44</v>
      </c>
      <c r="C46" s="213" t="s">
        <v>258</v>
      </c>
      <c r="D46" s="80">
        <f t="shared" si="1"/>
        <v>65</v>
      </c>
      <c r="E46" s="80">
        <f t="shared" si="2"/>
        <v>19.399999999999999</v>
      </c>
      <c r="F46" s="217">
        <v>45.6</v>
      </c>
      <c r="G46" s="80">
        <f t="shared" si="17"/>
        <v>4</v>
      </c>
      <c r="H46" s="80">
        <f t="shared" si="3"/>
        <v>48</v>
      </c>
      <c r="I46" s="80">
        <f t="shared" si="4"/>
        <v>15</v>
      </c>
      <c r="J46" s="80">
        <f t="shared" si="5"/>
        <v>4.5999999999999996</v>
      </c>
      <c r="K46" s="80">
        <f t="shared" si="6"/>
        <v>55.199999999999996</v>
      </c>
      <c r="L46" s="80">
        <f t="shared" si="7"/>
        <v>0.59999999999999964</v>
      </c>
      <c r="M46" s="80">
        <f t="shared" si="8"/>
        <v>7.1999999999999957</v>
      </c>
      <c r="N46" s="224">
        <f t="shared" si="9"/>
        <v>14.625</v>
      </c>
      <c r="O46" s="296" t="str">
        <f t="shared" si="10"/>
        <v>c:\\3cx\\Snom\\jpg\\EHS-adapter.jpg</v>
      </c>
      <c r="P46" s="296" t="str">
        <f t="shared" si="11"/>
        <v>https://lvoip.lu/3cx/Snom/pdf/EHS-adapter.pdf</v>
      </c>
      <c r="Q46" s="80">
        <f>ROUND(Phones!D46/$Q$1,0)</f>
        <v>6</v>
      </c>
      <c r="R46" s="80">
        <f t="shared" si="12"/>
        <v>72</v>
      </c>
      <c r="S46" s="80">
        <f>ROUND(Phones!D46/$S$1,0)</f>
        <v>3</v>
      </c>
      <c r="T46" s="80">
        <f t="shared" si="13"/>
        <v>72</v>
      </c>
      <c r="U46" s="80" t="str">
        <f t="shared" si="14"/>
        <v xml:space="preserve"> 065</v>
      </c>
      <c r="V46" s="80" t="str">
        <f t="shared" si="15"/>
        <v xml:space="preserve"> 004</v>
      </c>
      <c r="W46" s="80" t="str">
        <f t="shared" si="16"/>
        <v xml:space="preserve"> 015</v>
      </c>
    </row>
    <row r="47" spans="1:23" x14ac:dyDescent="0.2">
      <c r="A47" s="75" t="s">
        <v>39</v>
      </c>
      <c r="B47" s="215">
        <v>45</v>
      </c>
      <c r="C47" s="213" t="s">
        <v>259</v>
      </c>
      <c r="D47" s="80">
        <f t="shared" si="1"/>
        <v>13</v>
      </c>
      <c r="E47" s="80">
        <f t="shared" si="2"/>
        <v>3.8800000000000008</v>
      </c>
      <c r="F47" s="217">
        <v>9.1199999999999992</v>
      </c>
      <c r="G47" s="80">
        <f t="shared" si="17"/>
        <v>4</v>
      </c>
      <c r="H47" s="80">
        <f t="shared" si="3"/>
        <v>48</v>
      </c>
      <c r="I47" s="80">
        <f t="shared" si="4"/>
        <v>15</v>
      </c>
      <c r="J47" s="80">
        <f t="shared" si="5"/>
        <v>4.5999999999999996</v>
      </c>
      <c r="K47" s="80">
        <f t="shared" si="6"/>
        <v>55.199999999999996</v>
      </c>
      <c r="L47" s="80">
        <f t="shared" si="7"/>
        <v>0.59999999999999964</v>
      </c>
      <c r="M47" s="80">
        <f t="shared" si="8"/>
        <v>7.1999999999999957</v>
      </c>
      <c r="N47" s="224">
        <f t="shared" si="9"/>
        <v>2.9250000000000003</v>
      </c>
      <c r="O47" s="296" t="str">
        <f t="shared" si="10"/>
        <v>c:\\3cx\\Snom\\jpg\\PSU(10watt).jpg</v>
      </c>
      <c r="P47" s="296" t="str">
        <f t="shared" si="11"/>
        <v>https://lvoip.lu/3cx/Snom/pdf/PSU(10watt).pdf</v>
      </c>
      <c r="Q47" s="80">
        <f>ROUND(Phones!D47/$Q$1,0)</f>
        <v>1</v>
      </c>
      <c r="R47" s="80">
        <f t="shared" si="12"/>
        <v>12</v>
      </c>
      <c r="S47" s="80">
        <f>ROUND(Phones!D47/$S$1,0)</f>
        <v>1</v>
      </c>
      <c r="T47" s="80">
        <f t="shared" si="13"/>
        <v>24</v>
      </c>
      <c r="U47" s="80" t="str">
        <f t="shared" si="14"/>
        <v xml:space="preserve"> 013</v>
      </c>
      <c r="V47" s="80" t="str">
        <f t="shared" si="15"/>
        <v xml:space="preserve"> 004</v>
      </c>
      <c r="W47" s="80" t="str">
        <f t="shared" si="16"/>
        <v xml:space="preserve"> 015</v>
      </c>
    </row>
    <row r="48" spans="1:23" x14ac:dyDescent="0.2">
      <c r="A48" s="75" t="s">
        <v>155</v>
      </c>
      <c r="B48" s="216">
        <v>2</v>
      </c>
      <c r="C48" s="75" t="s">
        <v>292</v>
      </c>
      <c r="D48" s="80">
        <f t="shared" ref="D48:D87" si="18">ROUND(F48/$E$1,0)</f>
        <v>367</v>
      </c>
      <c r="E48" s="80">
        <f t="shared" ref="E48:E87" si="19">D48-F48</f>
        <v>110</v>
      </c>
      <c r="F48" s="343">
        <v>257</v>
      </c>
      <c r="G48" s="80">
        <f t="shared" ref="G48:G87" si="20">VLOOKUP(D48,PrixMaint,2,TRUE)</f>
        <v>10</v>
      </c>
      <c r="H48" s="80">
        <f t="shared" ref="H48:H87" si="21">G48*12</f>
        <v>120</v>
      </c>
      <c r="I48" s="80">
        <f t="shared" ref="I48:I87" si="22">IF(N48&lt;15,15,IF(N48&lt;25,25,35))</f>
        <v>35</v>
      </c>
      <c r="J48" s="80">
        <f t="shared" ref="J48:J87" si="23">G48+(G48*$D$1)</f>
        <v>11.5</v>
      </c>
      <c r="K48" s="80">
        <f t="shared" ref="K48:K87" si="24">J48*12</f>
        <v>138</v>
      </c>
      <c r="L48" s="80">
        <f t="shared" ref="L48:L87" si="25">J48-G48</f>
        <v>1.5</v>
      </c>
      <c r="M48" s="80">
        <f t="shared" ref="M48:M87" si="26">L48*12</f>
        <v>18</v>
      </c>
      <c r="N48" s="224">
        <f t="shared" ref="N48:N87" si="27">D48*$N$1</f>
        <v>82.575000000000003</v>
      </c>
      <c r="O48" s="296" t="str">
        <f t="shared" ref="O48:O87" si="28">"c:\\3cx\\"&amp;A48&amp;"\\jpg\\"&amp;C48&amp;".jpg"</f>
        <v>c:\\3cx\\Fanvil\\jpg\\X210i.jpg</v>
      </c>
      <c r="P48" s="296" t="str">
        <f t="shared" ref="P48:P87" si="29">"https://lvoip.lu/3cx/"&amp;A48&amp;"/pdf/"&amp;C48&amp;".pdf"</f>
        <v>https://lvoip.lu/3cx/Fanvil/pdf/X210i.pdf</v>
      </c>
      <c r="Q48" s="80">
        <f>ROUND(Phones!D50/$Q$1,0)</f>
        <v>21</v>
      </c>
      <c r="R48" s="80">
        <f t="shared" ref="R48:R87" si="30">Q48*12</f>
        <v>252</v>
      </c>
      <c r="S48" s="80">
        <f>ROUND(Phones!D50/$S$1,0)</f>
        <v>11</v>
      </c>
      <c r="T48" s="80">
        <f t="shared" ref="T48:T87" si="31">S48*24</f>
        <v>264</v>
      </c>
      <c r="U48" s="80" t="str">
        <f t="shared" ref="U48:U87" si="32">TEXT(D48,"# ##0.00")</f>
        <v xml:space="preserve"> 367</v>
      </c>
      <c r="V48" s="80" t="str">
        <f t="shared" ref="V48:V87" si="33">TEXT(G48,"# ##0.00")</f>
        <v xml:space="preserve"> 010</v>
      </c>
      <c r="W48" s="80" t="str">
        <f t="shared" ref="W48:W87" si="34">TEXT(I48,"# ##0.00")</f>
        <v xml:space="preserve"> 035</v>
      </c>
    </row>
    <row r="49" spans="1:23" x14ac:dyDescent="0.2">
      <c r="A49" s="75" t="s">
        <v>155</v>
      </c>
      <c r="B49" s="216">
        <v>5</v>
      </c>
      <c r="C49" s="75" t="s">
        <v>157</v>
      </c>
      <c r="D49" s="80">
        <f t="shared" si="18"/>
        <v>261</v>
      </c>
      <c r="E49" s="80">
        <f t="shared" si="19"/>
        <v>78.199999999999989</v>
      </c>
      <c r="F49" s="217">
        <v>182.8</v>
      </c>
      <c r="G49" s="80">
        <f t="shared" si="20"/>
        <v>8</v>
      </c>
      <c r="H49" s="80">
        <f t="shared" si="21"/>
        <v>96</v>
      </c>
      <c r="I49" s="80">
        <f t="shared" si="22"/>
        <v>35</v>
      </c>
      <c r="J49" s="80">
        <f t="shared" si="23"/>
        <v>9.1999999999999993</v>
      </c>
      <c r="K49" s="80">
        <f t="shared" si="24"/>
        <v>110.39999999999999</v>
      </c>
      <c r="L49" s="80">
        <f t="shared" si="25"/>
        <v>1.1999999999999993</v>
      </c>
      <c r="M49" s="80">
        <f t="shared" si="26"/>
        <v>14.399999999999991</v>
      </c>
      <c r="N49" s="224">
        <f t="shared" si="27"/>
        <v>58.725000000000001</v>
      </c>
      <c r="O49" s="296" t="str">
        <f t="shared" si="28"/>
        <v>c:\\3cx\\Fanvil\\jpg\\C600.jpg</v>
      </c>
      <c r="P49" s="296" t="str">
        <f t="shared" si="29"/>
        <v>https://lvoip.lu/3cx/Fanvil/pdf/C600.pdf</v>
      </c>
      <c r="Q49" s="80">
        <f>ROUND(Phones!D52/$Q$1,0)</f>
        <v>18</v>
      </c>
      <c r="R49" s="80">
        <f t="shared" si="30"/>
        <v>216</v>
      </c>
      <c r="S49" s="80">
        <f>ROUND(Phones!D52/$S$1,0)</f>
        <v>10</v>
      </c>
      <c r="T49" s="80">
        <f t="shared" si="31"/>
        <v>240</v>
      </c>
      <c r="U49" s="80" t="str">
        <f t="shared" si="32"/>
        <v xml:space="preserve"> 261</v>
      </c>
      <c r="V49" s="80" t="str">
        <f t="shared" si="33"/>
        <v xml:space="preserve"> 008</v>
      </c>
      <c r="W49" s="80" t="str">
        <f t="shared" si="34"/>
        <v xml:space="preserve"> 035</v>
      </c>
    </row>
    <row r="50" spans="1:23" x14ac:dyDescent="0.2">
      <c r="A50" s="75" t="s">
        <v>155</v>
      </c>
      <c r="B50" s="216">
        <v>6</v>
      </c>
      <c r="C50" s="75" t="s">
        <v>156</v>
      </c>
      <c r="D50" s="80">
        <f t="shared" si="18"/>
        <v>221</v>
      </c>
      <c r="E50" s="80">
        <f t="shared" si="19"/>
        <v>66.400000000000006</v>
      </c>
      <c r="F50" s="217">
        <v>154.6</v>
      </c>
      <c r="G50" s="80">
        <f t="shared" si="20"/>
        <v>7</v>
      </c>
      <c r="H50" s="80">
        <f t="shared" si="21"/>
        <v>84</v>
      </c>
      <c r="I50" s="80">
        <f t="shared" si="22"/>
        <v>35</v>
      </c>
      <c r="J50" s="80">
        <f t="shared" si="23"/>
        <v>8.0500000000000007</v>
      </c>
      <c r="K50" s="80">
        <f t="shared" si="24"/>
        <v>96.600000000000009</v>
      </c>
      <c r="L50" s="80">
        <f t="shared" si="25"/>
        <v>1.0500000000000007</v>
      </c>
      <c r="M50" s="80">
        <f t="shared" si="26"/>
        <v>12.600000000000009</v>
      </c>
      <c r="N50" s="224">
        <f t="shared" si="27"/>
        <v>49.725000000000001</v>
      </c>
      <c r="O50" s="296" t="str">
        <f t="shared" si="28"/>
        <v>c:\\3cx\\Fanvil\\jpg\\X210.jpg</v>
      </c>
      <c r="P50" s="296" t="str">
        <f t="shared" si="29"/>
        <v>https://lvoip.lu/3cx/Fanvil/pdf/X210.pdf</v>
      </c>
      <c r="Q50" s="80">
        <f>ROUND(Phones!D53/$Q$1,0)</f>
        <v>14</v>
      </c>
      <c r="R50" s="80">
        <f t="shared" si="30"/>
        <v>168</v>
      </c>
      <c r="S50" s="80">
        <f>ROUND(Phones!D53/$S$1,0)</f>
        <v>8</v>
      </c>
      <c r="T50" s="80">
        <f t="shared" si="31"/>
        <v>192</v>
      </c>
      <c r="U50" s="80" t="str">
        <f t="shared" si="32"/>
        <v xml:space="preserve"> 221</v>
      </c>
      <c r="V50" s="80" t="str">
        <f t="shared" si="33"/>
        <v xml:space="preserve"> 007</v>
      </c>
      <c r="W50" s="80" t="str">
        <f t="shared" si="34"/>
        <v xml:space="preserve"> 035</v>
      </c>
    </row>
    <row r="51" spans="1:23" x14ac:dyDescent="0.2">
      <c r="A51" s="75" t="s">
        <v>155</v>
      </c>
      <c r="B51" s="216">
        <v>7</v>
      </c>
      <c r="C51" s="75" t="s">
        <v>291</v>
      </c>
      <c r="D51" s="80">
        <f t="shared" si="18"/>
        <v>219</v>
      </c>
      <c r="E51" s="80">
        <f t="shared" si="19"/>
        <v>65.5</v>
      </c>
      <c r="F51" s="343">
        <v>153.5</v>
      </c>
      <c r="G51" s="80">
        <f t="shared" si="20"/>
        <v>7</v>
      </c>
      <c r="H51" s="80">
        <f t="shared" si="21"/>
        <v>84</v>
      </c>
      <c r="I51" s="80">
        <f t="shared" si="22"/>
        <v>35</v>
      </c>
      <c r="J51" s="80">
        <f t="shared" si="23"/>
        <v>8.0500000000000007</v>
      </c>
      <c r="K51" s="80">
        <f t="shared" si="24"/>
        <v>96.600000000000009</v>
      </c>
      <c r="L51" s="80">
        <f t="shared" si="25"/>
        <v>1.0500000000000007</v>
      </c>
      <c r="M51" s="80">
        <f t="shared" si="26"/>
        <v>12.600000000000009</v>
      </c>
      <c r="N51" s="224">
        <f t="shared" si="27"/>
        <v>49.274999999999999</v>
      </c>
      <c r="O51" s="296" t="str">
        <f t="shared" si="28"/>
        <v>c:\\3cx\\Fanvil\\jpg\\X7A.jpg</v>
      </c>
      <c r="P51" s="296" t="str">
        <f t="shared" si="29"/>
        <v>https://lvoip.lu/3cx/Fanvil/pdf/X7A.pdf</v>
      </c>
      <c r="Q51" s="80">
        <f>ROUND(Phones!D54/$Q$1,0)</f>
        <v>13</v>
      </c>
      <c r="R51" s="80">
        <f t="shared" si="30"/>
        <v>156</v>
      </c>
      <c r="S51" s="80">
        <f>ROUND(Phones!D54/$S$1,0)</f>
        <v>7</v>
      </c>
      <c r="T51" s="80">
        <f t="shared" si="31"/>
        <v>168</v>
      </c>
      <c r="U51" s="80" t="str">
        <f t="shared" si="32"/>
        <v xml:space="preserve"> 219</v>
      </c>
      <c r="V51" s="80" t="str">
        <f t="shared" si="33"/>
        <v xml:space="preserve"> 007</v>
      </c>
      <c r="W51" s="80" t="str">
        <f t="shared" si="34"/>
        <v xml:space="preserve"> 035</v>
      </c>
    </row>
    <row r="52" spans="1:23" x14ac:dyDescent="0.2">
      <c r="A52" s="75" t="s">
        <v>155</v>
      </c>
      <c r="B52" s="216">
        <v>10</v>
      </c>
      <c r="C52" s="75" t="s">
        <v>198</v>
      </c>
      <c r="D52" s="80">
        <f t="shared" si="18"/>
        <v>187</v>
      </c>
      <c r="E52" s="80">
        <f t="shared" si="19"/>
        <v>56</v>
      </c>
      <c r="F52" s="217">
        <v>131</v>
      </c>
      <c r="G52" s="80">
        <f t="shared" si="20"/>
        <v>6</v>
      </c>
      <c r="H52" s="80">
        <f t="shared" si="21"/>
        <v>72</v>
      </c>
      <c r="I52" s="80">
        <f t="shared" si="22"/>
        <v>35</v>
      </c>
      <c r="J52" s="80">
        <f t="shared" si="23"/>
        <v>6.9</v>
      </c>
      <c r="K52" s="80">
        <f t="shared" si="24"/>
        <v>82.800000000000011</v>
      </c>
      <c r="L52" s="80">
        <f t="shared" si="25"/>
        <v>0.90000000000000036</v>
      </c>
      <c r="M52" s="80">
        <f t="shared" si="26"/>
        <v>10.800000000000004</v>
      </c>
      <c r="N52" s="224">
        <f t="shared" si="27"/>
        <v>42.075000000000003</v>
      </c>
      <c r="O52" s="296" t="str">
        <f t="shared" si="28"/>
        <v>c:\\3cx\\Fanvil\\jpg\\X7.jpg</v>
      </c>
      <c r="P52" s="296" t="str">
        <f t="shared" si="29"/>
        <v>https://lvoip.lu/3cx/Fanvil/pdf/X7.pdf</v>
      </c>
      <c r="Q52" s="80">
        <f>ROUND(Phones!D57/$Q$1,0)</f>
        <v>9</v>
      </c>
      <c r="R52" s="80">
        <f t="shared" si="30"/>
        <v>108</v>
      </c>
      <c r="S52" s="80">
        <f>ROUND(Phones!D57/$S$1,0)</f>
        <v>5</v>
      </c>
      <c r="T52" s="80">
        <f t="shared" si="31"/>
        <v>120</v>
      </c>
      <c r="U52" s="80" t="str">
        <f t="shared" si="32"/>
        <v xml:space="preserve"> 187</v>
      </c>
      <c r="V52" s="80" t="str">
        <f t="shared" si="33"/>
        <v xml:space="preserve"> 006</v>
      </c>
      <c r="W52" s="80" t="str">
        <f t="shared" si="34"/>
        <v xml:space="preserve"> 035</v>
      </c>
    </row>
    <row r="53" spans="1:23" x14ac:dyDescent="0.2">
      <c r="A53" s="75" t="s">
        <v>155</v>
      </c>
      <c r="B53" s="216">
        <v>11</v>
      </c>
      <c r="C53" s="75" t="s">
        <v>197</v>
      </c>
      <c r="D53" s="80">
        <f t="shared" si="18"/>
        <v>152</v>
      </c>
      <c r="E53" s="80">
        <f t="shared" si="19"/>
        <v>45.7</v>
      </c>
      <c r="F53" s="217">
        <v>106.3</v>
      </c>
      <c r="G53" s="80">
        <f t="shared" si="20"/>
        <v>6</v>
      </c>
      <c r="H53" s="80">
        <f t="shared" si="21"/>
        <v>72</v>
      </c>
      <c r="I53" s="80">
        <f t="shared" si="22"/>
        <v>35</v>
      </c>
      <c r="J53" s="80">
        <f t="shared" si="23"/>
        <v>6.9</v>
      </c>
      <c r="K53" s="80">
        <f t="shared" si="24"/>
        <v>82.800000000000011</v>
      </c>
      <c r="L53" s="80">
        <f t="shared" si="25"/>
        <v>0.90000000000000036</v>
      </c>
      <c r="M53" s="80">
        <f t="shared" si="26"/>
        <v>10.800000000000004</v>
      </c>
      <c r="N53" s="224">
        <f t="shared" si="27"/>
        <v>34.200000000000003</v>
      </c>
      <c r="O53" s="296" t="str">
        <f t="shared" si="28"/>
        <v>c:\\3cx\\Fanvil\\jpg\\X7C.jpg</v>
      </c>
      <c r="P53" s="296" t="str">
        <f t="shared" si="29"/>
        <v>https://lvoip.lu/3cx/Fanvil/pdf/X7C.pdf</v>
      </c>
      <c r="Q53" s="80">
        <f>ROUND(Phones!D58/$Q$1,0)</f>
        <v>8</v>
      </c>
      <c r="R53" s="80">
        <f t="shared" si="30"/>
        <v>96</v>
      </c>
      <c r="S53" s="80">
        <f>ROUND(Phones!D58/$S$1,0)</f>
        <v>4</v>
      </c>
      <c r="T53" s="80">
        <f t="shared" si="31"/>
        <v>96</v>
      </c>
      <c r="U53" s="80" t="str">
        <f t="shared" si="32"/>
        <v xml:space="preserve"> 152</v>
      </c>
      <c r="V53" s="80" t="str">
        <f t="shared" si="33"/>
        <v xml:space="preserve"> 006</v>
      </c>
      <c r="W53" s="80" t="str">
        <f t="shared" si="34"/>
        <v xml:space="preserve"> 035</v>
      </c>
    </row>
    <row r="54" spans="1:23" x14ac:dyDescent="0.2">
      <c r="A54" s="75" t="s">
        <v>155</v>
      </c>
      <c r="B54" s="216">
        <v>12</v>
      </c>
      <c r="C54" s="75" t="s">
        <v>290</v>
      </c>
      <c r="D54" s="80">
        <f t="shared" si="18"/>
        <v>137</v>
      </c>
      <c r="E54" s="80">
        <f t="shared" si="19"/>
        <v>40.900000000000006</v>
      </c>
      <c r="F54" s="343">
        <v>96.1</v>
      </c>
      <c r="G54" s="80">
        <f t="shared" si="20"/>
        <v>5</v>
      </c>
      <c r="H54" s="80">
        <f t="shared" si="21"/>
        <v>60</v>
      </c>
      <c r="I54" s="80">
        <f t="shared" si="22"/>
        <v>35</v>
      </c>
      <c r="J54" s="80">
        <f t="shared" si="23"/>
        <v>5.75</v>
      </c>
      <c r="K54" s="80">
        <f t="shared" si="24"/>
        <v>69</v>
      </c>
      <c r="L54" s="80">
        <f t="shared" si="25"/>
        <v>0.75</v>
      </c>
      <c r="M54" s="80">
        <f t="shared" si="26"/>
        <v>9</v>
      </c>
      <c r="N54" s="224">
        <f t="shared" si="27"/>
        <v>30.824999999999999</v>
      </c>
      <c r="O54" s="296" t="str">
        <f t="shared" si="28"/>
        <v>c:\\3cx\\Fanvil\\jpg\\X6U.jpg</v>
      </c>
      <c r="P54" s="296" t="str">
        <f t="shared" si="29"/>
        <v>https://lvoip.lu/3cx/Fanvil/pdf/X6U.pdf</v>
      </c>
      <c r="Q54" s="80">
        <f>ROUND(Phones!D59/$Q$1,0)</f>
        <v>8</v>
      </c>
      <c r="R54" s="80">
        <f t="shared" si="30"/>
        <v>96</v>
      </c>
      <c r="S54" s="80">
        <f>ROUND(Phones!D59/$S$1,0)</f>
        <v>4</v>
      </c>
      <c r="T54" s="80">
        <f t="shared" si="31"/>
        <v>96</v>
      </c>
      <c r="U54" s="80" t="str">
        <f t="shared" si="32"/>
        <v xml:space="preserve"> 137</v>
      </c>
      <c r="V54" s="80" t="str">
        <f t="shared" si="33"/>
        <v xml:space="preserve"> 005</v>
      </c>
      <c r="W54" s="80" t="str">
        <f t="shared" si="34"/>
        <v xml:space="preserve"> 035</v>
      </c>
    </row>
    <row r="55" spans="1:23" x14ac:dyDescent="0.2">
      <c r="A55" s="75" t="s">
        <v>155</v>
      </c>
      <c r="B55" s="216">
        <v>13</v>
      </c>
      <c r="C55" s="75" t="s">
        <v>196</v>
      </c>
      <c r="D55" s="80">
        <f t="shared" si="18"/>
        <v>134</v>
      </c>
      <c r="E55" s="80">
        <f t="shared" si="19"/>
        <v>40.099999999999994</v>
      </c>
      <c r="F55" s="217">
        <v>93.9</v>
      </c>
      <c r="G55" s="80">
        <f t="shared" si="20"/>
        <v>5</v>
      </c>
      <c r="H55" s="80">
        <f t="shared" si="21"/>
        <v>60</v>
      </c>
      <c r="I55" s="80">
        <f t="shared" si="22"/>
        <v>35</v>
      </c>
      <c r="J55" s="80">
        <f t="shared" si="23"/>
        <v>5.75</v>
      </c>
      <c r="K55" s="80">
        <f t="shared" si="24"/>
        <v>69</v>
      </c>
      <c r="L55" s="80">
        <f t="shared" si="25"/>
        <v>0.75</v>
      </c>
      <c r="M55" s="80">
        <f t="shared" si="26"/>
        <v>9</v>
      </c>
      <c r="N55" s="224">
        <f t="shared" si="27"/>
        <v>30.150000000000002</v>
      </c>
      <c r="O55" s="296" t="str">
        <f t="shared" si="28"/>
        <v>c:\\3cx\\Fanvil\\jpg\\X6.jpg</v>
      </c>
      <c r="P55" s="296" t="str">
        <f t="shared" si="29"/>
        <v>https://lvoip.lu/3cx/Fanvil/pdf/X6.pdf</v>
      </c>
      <c r="Q55" s="80">
        <f>ROUND(Phones!D60/$Q$1,0)</f>
        <v>7</v>
      </c>
      <c r="R55" s="80">
        <f t="shared" si="30"/>
        <v>84</v>
      </c>
      <c r="S55" s="80">
        <f>ROUND(Phones!D60/$S$1,0)</f>
        <v>4</v>
      </c>
      <c r="T55" s="80">
        <f t="shared" si="31"/>
        <v>96</v>
      </c>
      <c r="U55" s="80" t="str">
        <f t="shared" si="32"/>
        <v xml:space="preserve"> 134</v>
      </c>
      <c r="V55" s="80" t="str">
        <f t="shared" si="33"/>
        <v xml:space="preserve"> 005</v>
      </c>
      <c r="W55" s="80" t="str">
        <f t="shared" si="34"/>
        <v xml:space="preserve"> 035</v>
      </c>
    </row>
    <row r="56" spans="1:23" x14ac:dyDescent="0.2">
      <c r="A56" s="75" t="s">
        <v>155</v>
      </c>
      <c r="B56" s="216">
        <v>14</v>
      </c>
      <c r="C56" s="75" t="s">
        <v>289</v>
      </c>
      <c r="D56" s="80">
        <f t="shared" si="18"/>
        <v>104</v>
      </c>
      <c r="E56" s="80">
        <f t="shared" si="19"/>
        <v>31.5</v>
      </c>
      <c r="F56" s="343">
        <v>72.5</v>
      </c>
      <c r="G56" s="80">
        <f t="shared" si="20"/>
        <v>5</v>
      </c>
      <c r="H56" s="80">
        <f t="shared" si="21"/>
        <v>60</v>
      </c>
      <c r="I56" s="80">
        <f t="shared" si="22"/>
        <v>25</v>
      </c>
      <c r="J56" s="80">
        <f t="shared" si="23"/>
        <v>5.75</v>
      </c>
      <c r="K56" s="80">
        <f t="shared" si="24"/>
        <v>69</v>
      </c>
      <c r="L56" s="80">
        <f t="shared" si="25"/>
        <v>0.75</v>
      </c>
      <c r="M56" s="80">
        <f t="shared" si="26"/>
        <v>9</v>
      </c>
      <c r="N56" s="224">
        <f t="shared" si="27"/>
        <v>23.400000000000002</v>
      </c>
      <c r="O56" s="296" t="str">
        <f t="shared" si="28"/>
        <v>c:\\3cx\\Fanvil\\jpg\\X5U.jpg</v>
      </c>
      <c r="P56" s="296" t="str">
        <f t="shared" si="29"/>
        <v>https://lvoip.lu/3cx/Fanvil/pdf/X5U.pdf</v>
      </c>
      <c r="Q56" s="80">
        <f>ROUND(Phones!D61/$Q$1,0)</f>
        <v>7</v>
      </c>
      <c r="R56" s="80">
        <f t="shared" si="30"/>
        <v>84</v>
      </c>
      <c r="S56" s="80">
        <f>ROUND(Phones!D61/$S$1,0)</f>
        <v>4</v>
      </c>
      <c r="T56" s="80">
        <f t="shared" si="31"/>
        <v>96</v>
      </c>
      <c r="U56" s="80" t="str">
        <f t="shared" si="32"/>
        <v xml:space="preserve"> 104</v>
      </c>
      <c r="V56" s="80" t="str">
        <f t="shared" si="33"/>
        <v xml:space="preserve"> 005</v>
      </c>
      <c r="W56" s="80" t="str">
        <f t="shared" si="34"/>
        <v xml:space="preserve"> 025</v>
      </c>
    </row>
    <row r="57" spans="1:23" x14ac:dyDescent="0.2">
      <c r="A57" s="75" t="s">
        <v>155</v>
      </c>
      <c r="B57" s="216">
        <v>15</v>
      </c>
      <c r="C57" s="75" t="s">
        <v>195</v>
      </c>
      <c r="D57" s="80">
        <f t="shared" si="18"/>
        <v>99</v>
      </c>
      <c r="E57" s="80">
        <f t="shared" si="19"/>
        <v>29.900000000000006</v>
      </c>
      <c r="F57" s="217">
        <v>69.099999999999994</v>
      </c>
      <c r="G57" s="80">
        <f t="shared" si="20"/>
        <v>4</v>
      </c>
      <c r="H57" s="80">
        <f t="shared" si="21"/>
        <v>48</v>
      </c>
      <c r="I57" s="80">
        <f t="shared" si="22"/>
        <v>25</v>
      </c>
      <c r="J57" s="80">
        <f t="shared" si="23"/>
        <v>4.5999999999999996</v>
      </c>
      <c r="K57" s="80">
        <f t="shared" si="24"/>
        <v>55.199999999999996</v>
      </c>
      <c r="L57" s="80">
        <f t="shared" si="25"/>
        <v>0.59999999999999964</v>
      </c>
      <c r="M57" s="80">
        <f t="shared" si="26"/>
        <v>7.1999999999999957</v>
      </c>
      <c r="N57" s="224">
        <f t="shared" si="27"/>
        <v>22.275000000000002</v>
      </c>
      <c r="O57" s="296" t="str">
        <f t="shared" si="28"/>
        <v>c:\\3cx\\Fanvil\\jpg\\X5S.jpg</v>
      </c>
      <c r="P57" s="296" t="str">
        <f t="shared" si="29"/>
        <v>https://lvoip.lu/3cx/Fanvil/pdf/X5S.pdf</v>
      </c>
      <c r="Q57" s="80">
        <f>ROUND(Phones!D62/$Q$1,0)</f>
        <v>7</v>
      </c>
      <c r="R57" s="80">
        <f t="shared" si="30"/>
        <v>84</v>
      </c>
      <c r="S57" s="80">
        <f>ROUND(Phones!D62/$S$1,0)</f>
        <v>4</v>
      </c>
      <c r="T57" s="80">
        <f t="shared" si="31"/>
        <v>96</v>
      </c>
      <c r="U57" s="80" t="str">
        <f t="shared" si="32"/>
        <v xml:space="preserve"> 099</v>
      </c>
      <c r="V57" s="80" t="str">
        <f t="shared" si="33"/>
        <v xml:space="preserve"> 004</v>
      </c>
      <c r="W57" s="80" t="str">
        <f t="shared" si="34"/>
        <v xml:space="preserve"> 025</v>
      </c>
    </row>
    <row r="58" spans="1:23" x14ac:dyDescent="0.2">
      <c r="A58" s="75" t="s">
        <v>155</v>
      </c>
      <c r="B58" s="216">
        <v>16</v>
      </c>
      <c r="C58" s="75" t="s">
        <v>288</v>
      </c>
      <c r="D58" s="80">
        <f t="shared" si="18"/>
        <v>86</v>
      </c>
      <c r="E58" s="80">
        <f t="shared" si="19"/>
        <v>25.9</v>
      </c>
      <c r="F58" s="343">
        <v>60.1</v>
      </c>
      <c r="G58" s="80">
        <f t="shared" si="20"/>
        <v>4</v>
      </c>
      <c r="H58" s="80">
        <f t="shared" si="21"/>
        <v>48</v>
      </c>
      <c r="I58" s="80">
        <f t="shared" si="22"/>
        <v>25</v>
      </c>
      <c r="J58" s="80">
        <f t="shared" si="23"/>
        <v>4.5999999999999996</v>
      </c>
      <c r="K58" s="80">
        <f t="shared" si="24"/>
        <v>55.199999999999996</v>
      </c>
      <c r="L58" s="80">
        <f t="shared" si="25"/>
        <v>0.59999999999999964</v>
      </c>
      <c r="M58" s="80">
        <f t="shared" si="26"/>
        <v>7.1999999999999957</v>
      </c>
      <c r="N58" s="224">
        <f t="shared" si="27"/>
        <v>19.350000000000001</v>
      </c>
      <c r="O58" s="296" t="str">
        <f t="shared" si="28"/>
        <v>c:\\3cx\\Fanvil\\jpg\\X4U.jpg</v>
      </c>
      <c r="P58" s="296" t="str">
        <f t="shared" si="29"/>
        <v>https://lvoip.lu/3cx/Fanvil/pdf/X4U.pdf</v>
      </c>
      <c r="Q58" s="80">
        <f>ROUND(Phones!D63/$Q$1,0)</f>
        <v>6</v>
      </c>
      <c r="R58" s="80">
        <f t="shared" si="30"/>
        <v>72</v>
      </c>
      <c r="S58" s="80">
        <f>ROUND(Phones!D63/$S$1,0)</f>
        <v>3</v>
      </c>
      <c r="T58" s="80">
        <f t="shared" si="31"/>
        <v>72</v>
      </c>
      <c r="U58" s="80" t="str">
        <f t="shared" si="32"/>
        <v xml:space="preserve"> 086</v>
      </c>
      <c r="V58" s="80" t="str">
        <f t="shared" si="33"/>
        <v xml:space="preserve"> 004</v>
      </c>
      <c r="W58" s="80" t="str">
        <f t="shared" si="34"/>
        <v xml:space="preserve"> 025</v>
      </c>
    </row>
    <row r="59" spans="1:23" x14ac:dyDescent="0.2">
      <c r="A59" s="75" t="s">
        <v>155</v>
      </c>
      <c r="B59" s="216">
        <v>18</v>
      </c>
      <c r="C59" s="75" t="s">
        <v>201</v>
      </c>
      <c r="D59" s="80">
        <f t="shared" si="18"/>
        <v>83</v>
      </c>
      <c r="E59" s="80">
        <f t="shared" si="19"/>
        <v>25.1</v>
      </c>
      <c r="F59" s="217">
        <v>57.9</v>
      </c>
      <c r="G59" s="80">
        <f t="shared" si="20"/>
        <v>4</v>
      </c>
      <c r="H59" s="80">
        <f t="shared" si="21"/>
        <v>48</v>
      </c>
      <c r="I59" s="80">
        <f t="shared" si="22"/>
        <v>25</v>
      </c>
      <c r="J59" s="80">
        <f t="shared" si="23"/>
        <v>4.5999999999999996</v>
      </c>
      <c r="K59" s="80">
        <f t="shared" si="24"/>
        <v>55.199999999999996</v>
      </c>
      <c r="L59" s="80">
        <f t="shared" si="25"/>
        <v>0.59999999999999964</v>
      </c>
      <c r="M59" s="80">
        <f t="shared" si="26"/>
        <v>7.1999999999999957</v>
      </c>
      <c r="N59" s="224">
        <f t="shared" si="27"/>
        <v>18.675000000000001</v>
      </c>
      <c r="O59" s="296" t="str">
        <f t="shared" si="28"/>
        <v>c:\\3cx\\Fanvil\\jpg\\H5.jpg</v>
      </c>
      <c r="P59" s="296" t="str">
        <f t="shared" si="29"/>
        <v>https://lvoip.lu/3cx/Fanvil/pdf/H5.pdf</v>
      </c>
      <c r="Q59" s="80">
        <f>ROUND(Phones!D72/$Q$1,0)</f>
        <v>3</v>
      </c>
      <c r="R59" s="80">
        <f t="shared" si="30"/>
        <v>36</v>
      </c>
      <c r="S59" s="80">
        <f>ROUND(Phones!D72/$S$1,0)</f>
        <v>2</v>
      </c>
      <c r="T59" s="80">
        <f t="shared" si="31"/>
        <v>48</v>
      </c>
      <c r="U59" s="80" t="str">
        <f t="shared" si="32"/>
        <v xml:space="preserve"> 083</v>
      </c>
      <c r="V59" s="80" t="str">
        <f t="shared" si="33"/>
        <v xml:space="preserve"> 004</v>
      </c>
      <c r="W59" s="80" t="str">
        <f t="shared" si="34"/>
        <v xml:space="preserve"> 025</v>
      </c>
    </row>
    <row r="60" spans="1:23" x14ac:dyDescent="0.2">
      <c r="A60" s="75" t="s">
        <v>155</v>
      </c>
      <c r="B60" s="216">
        <v>19</v>
      </c>
      <c r="C60" s="75" t="s">
        <v>194</v>
      </c>
      <c r="D60" s="80">
        <f t="shared" si="18"/>
        <v>79</v>
      </c>
      <c r="E60" s="80">
        <f t="shared" si="19"/>
        <v>23.4</v>
      </c>
      <c r="F60" s="217">
        <v>55.6</v>
      </c>
      <c r="G60" s="80">
        <f t="shared" si="20"/>
        <v>4</v>
      </c>
      <c r="H60" s="80">
        <f t="shared" si="21"/>
        <v>48</v>
      </c>
      <c r="I60" s="80">
        <f t="shared" si="22"/>
        <v>25</v>
      </c>
      <c r="J60" s="80">
        <f t="shared" si="23"/>
        <v>4.5999999999999996</v>
      </c>
      <c r="K60" s="80">
        <f t="shared" si="24"/>
        <v>55.199999999999996</v>
      </c>
      <c r="L60" s="80">
        <f t="shared" si="25"/>
        <v>0.59999999999999964</v>
      </c>
      <c r="M60" s="80">
        <f t="shared" si="26"/>
        <v>7.1999999999999957</v>
      </c>
      <c r="N60" s="224">
        <f t="shared" si="27"/>
        <v>17.775000000000002</v>
      </c>
      <c r="O60" s="296" t="str">
        <f t="shared" si="28"/>
        <v>c:\\3cx\\Fanvil\\jpg\\X4G.jpg</v>
      </c>
      <c r="P60" s="296" t="str">
        <f t="shared" si="29"/>
        <v>https://lvoip.lu/3cx/Fanvil/pdf/X4G.pdf</v>
      </c>
      <c r="Q60" s="80">
        <f>ROUND(Phones!D73/$Q$1,0)</f>
        <v>1</v>
      </c>
      <c r="R60" s="80">
        <f t="shared" si="30"/>
        <v>12</v>
      </c>
      <c r="S60" s="80">
        <f>ROUND(Phones!D73/$S$1,0)</f>
        <v>0</v>
      </c>
      <c r="T60" s="80">
        <f t="shared" si="31"/>
        <v>0</v>
      </c>
      <c r="U60" s="80" t="str">
        <f t="shared" si="32"/>
        <v xml:space="preserve"> 079</v>
      </c>
      <c r="V60" s="80" t="str">
        <f t="shared" si="33"/>
        <v xml:space="preserve"> 004</v>
      </c>
      <c r="W60" s="80" t="str">
        <f t="shared" si="34"/>
        <v xml:space="preserve"> 025</v>
      </c>
    </row>
    <row r="61" spans="1:23" x14ac:dyDescent="0.2">
      <c r="A61" s="75" t="s">
        <v>155</v>
      </c>
      <c r="B61" s="216">
        <v>20</v>
      </c>
      <c r="C61" s="75" t="s">
        <v>200</v>
      </c>
      <c r="D61" s="80">
        <f t="shared" si="18"/>
        <v>73</v>
      </c>
      <c r="E61" s="80">
        <f t="shared" si="19"/>
        <v>21.9</v>
      </c>
      <c r="F61" s="217">
        <v>51.1</v>
      </c>
      <c r="G61" s="80">
        <f t="shared" si="20"/>
        <v>4</v>
      </c>
      <c r="H61" s="80">
        <f t="shared" si="21"/>
        <v>48</v>
      </c>
      <c r="I61" s="80">
        <f t="shared" si="22"/>
        <v>25</v>
      </c>
      <c r="J61" s="80">
        <f t="shared" si="23"/>
        <v>4.5999999999999996</v>
      </c>
      <c r="K61" s="80">
        <f t="shared" si="24"/>
        <v>55.199999999999996</v>
      </c>
      <c r="L61" s="80">
        <f t="shared" si="25"/>
        <v>0.59999999999999964</v>
      </c>
      <c r="M61" s="80">
        <f t="shared" si="26"/>
        <v>7.1999999999999957</v>
      </c>
      <c r="N61" s="224">
        <f t="shared" si="27"/>
        <v>16.425000000000001</v>
      </c>
      <c r="O61" s="296" t="str">
        <f t="shared" si="28"/>
        <v>c:\\3cx\\Fanvil\\jpg\\H3.jpg</v>
      </c>
      <c r="P61" s="296" t="str">
        <f t="shared" si="29"/>
        <v>https://lvoip.lu/3cx/Fanvil/pdf/H3.pdf</v>
      </c>
      <c r="Q61" s="80">
        <f>ROUND(Phones!D74/$Q$1,0)</f>
        <v>1</v>
      </c>
      <c r="R61" s="80">
        <f t="shared" si="30"/>
        <v>12</v>
      </c>
      <c r="S61" s="80">
        <f>ROUND(Phones!D74/$S$1,0)</f>
        <v>0</v>
      </c>
      <c r="T61" s="80">
        <f t="shared" si="31"/>
        <v>0</v>
      </c>
      <c r="U61" s="80" t="str">
        <f t="shared" si="32"/>
        <v xml:space="preserve"> 073</v>
      </c>
      <c r="V61" s="80" t="str">
        <f t="shared" si="33"/>
        <v xml:space="preserve"> 004</v>
      </c>
      <c r="W61" s="80" t="str">
        <f t="shared" si="34"/>
        <v xml:space="preserve"> 025</v>
      </c>
    </row>
    <row r="62" spans="1:23" x14ac:dyDescent="0.2">
      <c r="A62" s="75" t="s">
        <v>155</v>
      </c>
      <c r="B62" s="216">
        <v>21</v>
      </c>
      <c r="C62" s="75" t="s">
        <v>287</v>
      </c>
      <c r="D62" s="80">
        <f t="shared" si="18"/>
        <v>70</v>
      </c>
      <c r="E62" s="80">
        <f t="shared" si="19"/>
        <v>21.1</v>
      </c>
      <c r="F62" s="343">
        <v>48.9</v>
      </c>
      <c r="G62" s="80">
        <f t="shared" si="20"/>
        <v>4</v>
      </c>
      <c r="H62" s="80">
        <f t="shared" si="21"/>
        <v>48</v>
      </c>
      <c r="I62" s="80">
        <f t="shared" si="22"/>
        <v>25</v>
      </c>
      <c r="J62" s="80">
        <f t="shared" si="23"/>
        <v>4.5999999999999996</v>
      </c>
      <c r="K62" s="80">
        <f t="shared" si="24"/>
        <v>55.199999999999996</v>
      </c>
      <c r="L62" s="80">
        <f t="shared" si="25"/>
        <v>0.59999999999999964</v>
      </c>
      <c r="M62" s="80">
        <f t="shared" si="26"/>
        <v>7.1999999999999957</v>
      </c>
      <c r="N62" s="224">
        <f t="shared" si="27"/>
        <v>15.75</v>
      </c>
      <c r="O62" s="296" t="str">
        <f t="shared" si="28"/>
        <v>c:\\3cx\\Fanvil\\jpg\\X3U.jpg</v>
      </c>
      <c r="P62" s="296" t="str">
        <f t="shared" si="29"/>
        <v>https://lvoip.lu/3cx/Fanvil/pdf/X3U.pdf</v>
      </c>
      <c r="Q62" s="80">
        <f>ROUND(Phones!D75/$Q$1,0)</f>
        <v>70</v>
      </c>
      <c r="R62" s="80">
        <f t="shared" si="30"/>
        <v>840</v>
      </c>
      <c r="S62" s="80">
        <f>ROUND(Phones!D75/$S$1,0)</f>
        <v>38</v>
      </c>
      <c r="T62" s="80">
        <f t="shared" si="31"/>
        <v>912</v>
      </c>
      <c r="U62" s="80" t="str">
        <f t="shared" si="32"/>
        <v xml:space="preserve"> 070</v>
      </c>
      <c r="V62" s="80" t="str">
        <f t="shared" si="33"/>
        <v xml:space="preserve"> 004</v>
      </c>
      <c r="W62" s="80" t="str">
        <f t="shared" si="34"/>
        <v xml:space="preserve"> 025</v>
      </c>
    </row>
    <row r="63" spans="1:23" x14ac:dyDescent="0.2">
      <c r="A63" s="75" t="s">
        <v>155</v>
      </c>
      <c r="B63" s="216">
        <v>22</v>
      </c>
      <c r="C63" s="75" t="s">
        <v>286</v>
      </c>
      <c r="D63" s="80">
        <f t="shared" si="18"/>
        <v>67</v>
      </c>
      <c r="E63" s="80">
        <f t="shared" si="19"/>
        <v>20.399999999999999</v>
      </c>
      <c r="F63" s="343">
        <v>46.6</v>
      </c>
      <c r="G63" s="80">
        <f t="shared" si="20"/>
        <v>4</v>
      </c>
      <c r="H63" s="80">
        <f t="shared" si="21"/>
        <v>48</v>
      </c>
      <c r="I63" s="80">
        <f t="shared" si="22"/>
        <v>25</v>
      </c>
      <c r="J63" s="80">
        <f t="shared" si="23"/>
        <v>4.5999999999999996</v>
      </c>
      <c r="K63" s="80">
        <f t="shared" si="24"/>
        <v>55.199999999999996</v>
      </c>
      <c r="L63" s="80">
        <f t="shared" si="25"/>
        <v>0.59999999999999964</v>
      </c>
      <c r="M63" s="80">
        <f t="shared" si="26"/>
        <v>7.1999999999999957</v>
      </c>
      <c r="N63" s="224">
        <f t="shared" si="27"/>
        <v>15.075000000000001</v>
      </c>
      <c r="O63" s="296" t="str">
        <f t="shared" si="28"/>
        <v>c:\\3cx\\Fanvil\\jpg\\X3SG.jpg</v>
      </c>
      <c r="P63" s="296" t="str">
        <f t="shared" si="29"/>
        <v>https://lvoip.lu/3cx/Fanvil/pdf/X3SG.pdf</v>
      </c>
      <c r="Q63" s="80">
        <f>ROUND(Phones!D76/$Q$1,0)</f>
        <v>52</v>
      </c>
      <c r="R63" s="80">
        <f t="shared" si="30"/>
        <v>624</v>
      </c>
      <c r="S63" s="80">
        <f>ROUND(Phones!D76/$S$1,0)</f>
        <v>28</v>
      </c>
      <c r="T63" s="80">
        <f t="shared" si="31"/>
        <v>672</v>
      </c>
      <c r="U63" s="80" t="str">
        <f t="shared" si="32"/>
        <v xml:space="preserve"> 067</v>
      </c>
      <c r="V63" s="80" t="str">
        <f t="shared" si="33"/>
        <v xml:space="preserve"> 004</v>
      </c>
      <c r="W63" s="80" t="str">
        <f t="shared" si="34"/>
        <v xml:space="preserve"> 025</v>
      </c>
    </row>
    <row r="64" spans="1:23" x14ac:dyDescent="0.2">
      <c r="A64" s="75" t="s">
        <v>155</v>
      </c>
      <c r="B64" s="216">
        <v>23</v>
      </c>
      <c r="C64" s="75" t="s">
        <v>167</v>
      </c>
      <c r="D64" s="80">
        <f t="shared" si="18"/>
        <v>58</v>
      </c>
      <c r="E64" s="80">
        <f t="shared" si="19"/>
        <v>17.200000000000003</v>
      </c>
      <c r="F64" s="217">
        <v>40.799999999999997</v>
      </c>
      <c r="G64" s="80">
        <f t="shared" si="20"/>
        <v>4</v>
      </c>
      <c r="H64" s="80">
        <f t="shared" si="21"/>
        <v>48</v>
      </c>
      <c r="I64" s="80">
        <f t="shared" si="22"/>
        <v>15</v>
      </c>
      <c r="J64" s="80">
        <f t="shared" si="23"/>
        <v>4.5999999999999996</v>
      </c>
      <c r="K64" s="80">
        <f t="shared" si="24"/>
        <v>55.199999999999996</v>
      </c>
      <c r="L64" s="80">
        <f t="shared" si="25"/>
        <v>0.59999999999999964</v>
      </c>
      <c r="M64" s="80">
        <f t="shared" si="26"/>
        <v>7.1999999999999957</v>
      </c>
      <c r="N64" s="224">
        <f t="shared" si="27"/>
        <v>13.05</v>
      </c>
      <c r="O64" s="296" t="str">
        <f t="shared" si="28"/>
        <v>c:\\3cx\\Fanvil\\jpg\\HT202.jpg</v>
      </c>
      <c r="P64" s="296" t="str">
        <f t="shared" si="29"/>
        <v>https://lvoip.lu/3cx/Fanvil/pdf/HT202.pdf</v>
      </c>
      <c r="Q64" s="80">
        <f>ROUND(Phones!D77/$Q$1,0)</f>
        <v>44</v>
      </c>
      <c r="R64" s="80">
        <f t="shared" si="30"/>
        <v>528</v>
      </c>
      <c r="S64" s="80">
        <f>ROUND(Phones!D77/$S$1,0)</f>
        <v>24</v>
      </c>
      <c r="T64" s="80">
        <f t="shared" si="31"/>
        <v>576</v>
      </c>
      <c r="U64" s="80" t="str">
        <f t="shared" si="32"/>
        <v xml:space="preserve"> 058</v>
      </c>
      <c r="V64" s="80" t="str">
        <f t="shared" si="33"/>
        <v xml:space="preserve"> 004</v>
      </c>
      <c r="W64" s="80" t="str">
        <f t="shared" si="34"/>
        <v xml:space="preserve"> 015</v>
      </c>
    </row>
    <row r="65" spans="1:23" x14ac:dyDescent="0.2">
      <c r="A65" s="75" t="s">
        <v>155</v>
      </c>
      <c r="B65" s="216">
        <v>24</v>
      </c>
      <c r="C65" s="75" t="s">
        <v>191</v>
      </c>
      <c r="D65" s="80">
        <f t="shared" si="18"/>
        <v>55</v>
      </c>
      <c r="E65" s="80">
        <f t="shared" si="19"/>
        <v>16.200000000000003</v>
      </c>
      <c r="F65" s="217">
        <v>38.799999999999997</v>
      </c>
      <c r="G65" s="80">
        <f t="shared" si="20"/>
        <v>4</v>
      </c>
      <c r="H65" s="80">
        <f t="shared" si="21"/>
        <v>48</v>
      </c>
      <c r="I65" s="80">
        <f t="shared" si="22"/>
        <v>15</v>
      </c>
      <c r="J65" s="80">
        <f t="shared" si="23"/>
        <v>4.5999999999999996</v>
      </c>
      <c r="K65" s="80">
        <f t="shared" si="24"/>
        <v>55.199999999999996</v>
      </c>
      <c r="L65" s="80">
        <f t="shared" si="25"/>
        <v>0.59999999999999964</v>
      </c>
      <c r="M65" s="80">
        <f t="shared" si="26"/>
        <v>7.1999999999999957</v>
      </c>
      <c r="N65" s="224">
        <f t="shared" si="27"/>
        <v>12.375</v>
      </c>
      <c r="O65" s="296" t="str">
        <f t="shared" si="28"/>
        <v>c:\\3cx\\Fanvil\\jpg\\X2P.jpg</v>
      </c>
      <c r="P65" s="296" t="str">
        <f t="shared" si="29"/>
        <v>https://lvoip.lu/3cx/Fanvil/pdf/X2P.pdf</v>
      </c>
      <c r="Q65" s="80">
        <f>ROUND(Phones!D78/$Q$1,0)</f>
        <v>35</v>
      </c>
      <c r="R65" s="80">
        <f t="shared" si="30"/>
        <v>420</v>
      </c>
      <c r="S65" s="80">
        <f>ROUND(Phones!D78/$S$1,0)</f>
        <v>19</v>
      </c>
      <c r="T65" s="80">
        <f t="shared" si="31"/>
        <v>456</v>
      </c>
      <c r="U65" s="80" t="str">
        <f t="shared" si="32"/>
        <v xml:space="preserve"> 055</v>
      </c>
      <c r="V65" s="80" t="str">
        <f t="shared" si="33"/>
        <v xml:space="preserve"> 004</v>
      </c>
      <c r="W65" s="80" t="str">
        <f t="shared" si="34"/>
        <v xml:space="preserve"> 015</v>
      </c>
    </row>
    <row r="66" spans="1:23" x14ac:dyDescent="0.2">
      <c r="A66" s="75" t="s">
        <v>155</v>
      </c>
      <c r="B66" s="216">
        <v>25</v>
      </c>
      <c r="C66" s="75" t="s">
        <v>199</v>
      </c>
      <c r="D66" s="80">
        <f t="shared" si="18"/>
        <v>55</v>
      </c>
      <c r="E66" s="80">
        <f t="shared" si="19"/>
        <v>16.200000000000003</v>
      </c>
      <c r="F66" s="217">
        <v>38.799999999999997</v>
      </c>
      <c r="G66" s="80">
        <f t="shared" si="20"/>
        <v>4</v>
      </c>
      <c r="H66" s="80">
        <f t="shared" si="21"/>
        <v>48</v>
      </c>
      <c r="I66" s="80">
        <f t="shared" si="22"/>
        <v>15</v>
      </c>
      <c r="J66" s="80">
        <f t="shared" si="23"/>
        <v>4.5999999999999996</v>
      </c>
      <c r="K66" s="80">
        <f t="shared" si="24"/>
        <v>55.199999999999996</v>
      </c>
      <c r="L66" s="80">
        <f t="shared" si="25"/>
        <v>0.59999999999999964</v>
      </c>
      <c r="M66" s="80">
        <f t="shared" si="26"/>
        <v>7.1999999999999957</v>
      </c>
      <c r="N66" s="224">
        <f t="shared" si="27"/>
        <v>12.375</v>
      </c>
      <c r="O66" s="296" t="str">
        <f t="shared" si="28"/>
        <v>c:\\3cx\\Fanvil\\jpg\\H2S.jpg</v>
      </c>
      <c r="P66" s="296" t="str">
        <f t="shared" si="29"/>
        <v>https://lvoip.lu/3cx/Fanvil/pdf/H2S.pdf</v>
      </c>
      <c r="Q66" s="80">
        <f>ROUND(Phones!D79/$Q$1,0)</f>
        <v>28</v>
      </c>
      <c r="R66" s="80">
        <f t="shared" si="30"/>
        <v>336</v>
      </c>
      <c r="S66" s="80">
        <f>ROUND(Phones!D79/$S$1,0)</f>
        <v>16</v>
      </c>
      <c r="T66" s="80">
        <f t="shared" si="31"/>
        <v>384</v>
      </c>
      <c r="U66" s="80" t="str">
        <f t="shared" si="32"/>
        <v xml:space="preserve"> 055</v>
      </c>
      <c r="V66" s="80" t="str">
        <f t="shared" si="33"/>
        <v xml:space="preserve"> 004</v>
      </c>
      <c r="W66" s="80" t="str">
        <f t="shared" si="34"/>
        <v xml:space="preserve"> 015</v>
      </c>
    </row>
    <row r="67" spans="1:23" x14ac:dyDescent="0.2">
      <c r="A67" s="75" t="s">
        <v>155</v>
      </c>
      <c r="B67" s="216">
        <v>26</v>
      </c>
      <c r="C67" s="75" t="s">
        <v>192</v>
      </c>
      <c r="D67" s="80">
        <f t="shared" si="18"/>
        <v>52</v>
      </c>
      <c r="E67" s="80">
        <f t="shared" si="19"/>
        <v>15.5</v>
      </c>
      <c r="F67" s="217">
        <v>36.5</v>
      </c>
      <c r="G67" s="80">
        <f t="shared" si="20"/>
        <v>4</v>
      </c>
      <c r="H67" s="80">
        <f t="shared" si="21"/>
        <v>48</v>
      </c>
      <c r="I67" s="80">
        <f t="shared" si="22"/>
        <v>15</v>
      </c>
      <c r="J67" s="80">
        <f t="shared" si="23"/>
        <v>4.5999999999999996</v>
      </c>
      <c r="K67" s="80">
        <f t="shared" si="24"/>
        <v>55.199999999999996</v>
      </c>
      <c r="L67" s="80">
        <f t="shared" si="25"/>
        <v>0.59999999999999964</v>
      </c>
      <c r="M67" s="80">
        <f t="shared" si="26"/>
        <v>7.1999999999999957</v>
      </c>
      <c r="N67" s="224">
        <f t="shared" si="27"/>
        <v>11.700000000000001</v>
      </c>
      <c r="O67" s="296" t="str">
        <f t="shared" si="28"/>
        <v>c:\\3cx\\Fanvil\\jpg\\X3S.jpg</v>
      </c>
      <c r="P67" s="296" t="str">
        <f t="shared" si="29"/>
        <v>https://lvoip.lu/3cx/Fanvil/pdf/X3S.pdf</v>
      </c>
      <c r="Q67" s="80">
        <f>ROUND(Phones!D80/$Q$1,0)</f>
        <v>28</v>
      </c>
      <c r="R67" s="80">
        <f t="shared" si="30"/>
        <v>336</v>
      </c>
      <c r="S67" s="80">
        <f>ROUND(Phones!D80/$S$1,0)</f>
        <v>15</v>
      </c>
      <c r="T67" s="80">
        <f t="shared" si="31"/>
        <v>360</v>
      </c>
      <c r="U67" s="80" t="str">
        <f t="shared" si="32"/>
        <v xml:space="preserve"> 052</v>
      </c>
      <c r="V67" s="80" t="str">
        <f t="shared" si="33"/>
        <v xml:space="preserve"> 004</v>
      </c>
      <c r="W67" s="80" t="str">
        <f t="shared" si="34"/>
        <v xml:space="preserve"> 015</v>
      </c>
    </row>
    <row r="68" spans="1:23" x14ac:dyDescent="0.2">
      <c r="A68" s="75" t="s">
        <v>155</v>
      </c>
      <c r="B68" s="216">
        <v>27</v>
      </c>
      <c r="C68" s="75" t="s">
        <v>193</v>
      </c>
      <c r="D68" s="80">
        <f t="shared" si="18"/>
        <v>52</v>
      </c>
      <c r="E68" s="80">
        <f t="shared" si="19"/>
        <v>15.5</v>
      </c>
      <c r="F68" s="217">
        <v>36.5</v>
      </c>
      <c r="G68" s="80">
        <f t="shared" si="20"/>
        <v>4</v>
      </c>
      <c r="H68" s="80">
        <f t="shared" si="21"/>
        <v>48</v>
      </c>
      <c r="I68" s="80">
        <f t="shared" si="22"/>
        <v>15</v>
      </c>
      <c r="J68" s="80">
        <f t="shared" si="23"/>
        <v>4.5999999999999996</v>
      </c>
      <c r="K68" s="80">
        <f t="shared" si="24"/>
        <v>55.199999999999996</v>
      </c>
      <c r="L68" s="80">
        <f t="shared" si="25"/>
        <v>0.59999999999999964</v>
      </c>
      <c r="M68" s="80">
        <f t="shared" si="26"/>
        <v>7.1999999999999957</v>
      </c>
      <c r="N68" s="224">
        <f t="shared" si="27"/>
        <v>11.700000000000001</v>
      </c>
      <c r="O68" s="296" t="str">
        <f t="shared" si="28"/>
        <v>c:\\3cx\\Fanvil\\jpg\\X3SP.jpg</v>
      </c>
      <c r="P68" s="296" t="str">
        <f t="shared" si="29"/>
        <v>https://lvoip.lu/3cx/Fanvil/pdf/X3SP.pdf</v>
      </c>
      <c r="Q68" s="80">
        <f>ROUND(Phones!D81/$Q$1,0)</f>
        <v>25</v>
      </c>
      <c r="R68" s="80">
        <f t="shared" si="30"/>
        <v>300</v>
      </c>
      <c r="S68" s="80">
        <f>ROUND(Phones!D81/$S$1,0)</f>
        <v>13</v>
      </c>
      <c r="T68" s="80">
        <f t="shared" si="31"/>
        <v>312</v>
      </c>
      <c r="U68" s="80" t="str">
        <f t="shared" si="32"/>
        <v xml:space="preserve"> 052</v>
      </c>
      <c r="V68" s="80" t="str">
        <f t="shared" si="33"/>
        <v xml:space="preserve"> 004</v>
      </c>
      <c r="W68" s="80" t="str">
        <f t="shared" si="34"/>
        <v xml:space="preserve"> 015</v>
      </c>
    </row>
    <row r="69" spans="1:23" x14ac:dyDescent="0.2">
      <c r="A69" s="75" t="s">
        <v>155</v>
      </c>
      <c r="B69" s="216">
        <v>28</v>
      </c>
      <c r="C69" s="75" t="s">
        <v>190</v>
      </c>
      <c r="D69" s="80">
        <f t="shared" si="18"/>
        <v>47</v>
      </c>
      <c r="E69" s="80">
        <f t="shared" si="19"/>
        <v>13.899999999999999</v>
      </c>
      <c r="F69" s="217">
        <v>33.1</v>
      </c>
      <c r="G69" s="80">
        <f t="shared" si="20"/>
        <v>4</v>
      </c>
      <c r="H69" s="80">
        <f t="shared" si="21"/>
        <v>48</v>
      </c>
      <c r="I69" s="80">
        <f t="shared" si="22"/>
        <v>15</v>
      </c>
      <c r="J69" s="80">
        <f t="shared" si="23"/>
        <v>4.5999999999999996</v>
      </c>
      <c r="K69" s="80">
        <f t="shared" si="24"/>
        <v>55.199999999999996</v>
      </c>
      <c r="L69" s="80">
        <f t="shared" si="25"/>
        <v>0.59999999999999964</v>
      </c>
      <c r="M69" s="80">
        <f t="shared" si="26"/>
        <v>7.1999999999999957</v>
      </c>
      <c r="N69" s="224">
        <f t="shared" si="27"/>
        <v>10.575000000000001</v>
      </c>
      <c r="O69" s="296" t="str">
        <f t="shared" si="28"/>
        <v>c:\\3cx\\Fanvil\\jpg\\X1P.jpg</v>
      </c>
      <c r="P69" s="296" t="str">
        <f t="shared" si="29"/>
        <v>https://lvoip.lu/3cx/Fanvil/pdf/X1P.pdf</v>
      </c>
      <c r="Q69" s="80">
        <f>ROUND(Phones!D82/$Q$1,0)</f>
        <v>21</v>
      </c>
      <c r="R69" s="80">
        <f t="shared" si="30"/>
        <v>252</v>
      </c>
      <c r="S69" s="80">
        <f>ROUND(Phones!D82/$S$1,0)</f>
        <v>11</v>
      </c>
      <c r="T69" s="80">
        <f t="shared" si="31"/>
        <v>264</v>
      </c>
      <c r="U69" s="80" t="str">
        <f t="shared" si="32"/>
        <v xml:space="preserve"> 047</v>
      </c>
      <c r="V69" s="80" t="str">
        <f t="shared" si="33"/>
        <v xml:space="preserve"> 004</v>
      </c>
      <c r="W69" s="80" t="str">
        <f t="shared" si="34"/>
        <v xml:space="preserve"> 015</v>
      </c>
    </row>
    <row r="70" spans="1:23" x14ac:dyDescent="0.2">
      <c r="A70" s="75" t="s">
        <v>155</v>
      </c>
      <c r="B70" s="216">
        <v>29</v>
      </c>
      <c r="C70" s="75" t="s">
        <v>166</v>
      </c>
      <c r="D70" s="80">
        <f t="shared" si="18"/>
        <v>44</v>
      </c>
      <c r="E70" s="80">
        <f t="shared" si="19"/>
        <v>13.2</v>
      </c>
      <c r="F70" s="217">
        <v>30.8</v>
      </c>
      <c r="G70" s="80">
        <f t="shared" si="20"/>
        <v>4</v>
      </c>
      <c r="H70" s="80">
        <f t="shared" si="21"/>
        <v>48</v>
      </c>
      <c r="I70" s="80">
        <f t="shared" si="22"/>
        <v>15</v>
      </c>
      <c r="J70" s="80">
        <f t="shared" si="23"/>
        <v>4.5999999999999996</v>
      </c>
      <c r="K70" s="80">
        <f t="shared" si="24"/>
        <v>55.199999999999996</v>
      </c>
      <c r="L70" s="80">
        <f t="shared" si="25"/>
        <v>0.59999999999999964</v>
      </c>
      <c r="M70" s="80">
        <f t="shared" si="26"/>
        <v>7.1999999999999957</v>
      </c>
      <c r="N70" s="224">
        <f t="shared" si="27"/>
        <v>9.9</v>
      </c>
      <c r="O70" s="296" t="str">
        <f t="shared" si="28"/>
        <v>c:\\3cx\\Fanvil\\jpg\\HT201.jpg</v>
      </c>
      <c r="P70" s="296" t="str">
        <f t="shared" si="29"/>
        <v>https://lvoip.lu/3cx/Fanvil/pdf/HT201.pdf</v>
      </c>
      <c r="Q70" s="80">
        <f>ROUND(Phones!D83/$Q$1,0)</f>
        <v>18</v>
      </c>
      <c r="R70" s="80">
        <f t="shared" si="30"/>
        <v>216</v>
      </c>
      <c r="S70" s="80">
        <f>ROUND(Phones!D83/$S$1,0)</f>
        <v>10</v>
      </c>
      <c r="T70" s="80">
        <f t="shared" si="31"/>
        <v>240</v>
      </c>
      <c r="U70" s="80" t="str">
        <f t="shared" si="32"/>
        <v xml:space="preserve"> 044</v>
      </c>
      <c r="V70" s="80" t="str">
        <f t="shared" si="33"/>
        <v xml:space="preserve"> 004</v>
      </c>
      <c r="W70" s="80" t="str">
        <f t="shared" si="34"/>
        <v xml:space="preserve"> 015</v>
      </c>
    </row>
    <row r="71" spans="1:23" x14ac:dyDescent="0.2">
      <c r="A71" s="75" t="s">
        <v>155</v>
      </c>
      <c r="B71" s="216">
        <v>30</v>
      </c>
      <c r="C71" s="75" t="s">
        <v>164</v>
      </c>
      <c r="D71" s="80">
        <f t="shared" si="18"/>
        <v>24</v>
      </c>
      <c r="E71" s="80">
        <f t="shared" si="19"/>
        <v>7</v>
      </c>
      <c r="F71" s="217">
        <v>17</v>
      </c>
      <c r="G71" s="80">
        <f t="shared" si="20"/>
        <v>4</v>
      </c>
      <c r="H71" s="80">
        <f t="shared" si="21"/>
        <v>48</v>
      </c>
      <c r="I71" s="80">
        <f t="shared" si="22"/>
        <v>15</v>
      </c>
      <c r="J71" s="80">
        <f t="shared" si="23"/>
        <v>4.5999999999999996</v>
      </c>
      <c r="K71" s="80">
        <f t="shared" si="24"/>
        <v>55.199999999999996</v>
      </c>
      <c r="L71" s="80">
        <f t="shared" si="25"/>
        <v>0.59999999999999964</v>
      </c>
      <c r="M71" s="80">
        <f t="shared" si="26"/>
        <v>7.1999999999999957</v>
      </c>
      <c r="N71" s="224">
        <f t="shared" si="27"/>
        <v>5.4</v>
      </c>
      <c r="O71" s="296" t="str">
        <f t="shared" si="28"/>
        <v>c:\\3cx\\Fanvil\\jpg\\BT20.jpg</v>
      </c>
      <c r="P71" s="296" t="str">
        <f t="shared" si="29"/>
        <v>https://lvoip.lu/3cx/Fanvil/pdf/BT20.pdf</v>
      </c>
      <c r="Q71" s="80">
        <f>ROUND(Phones!D84/$Q$1,0)</f>
        <v>18</v>
      </c>
      <c r="R71" s="80">
        <f t="shared" si="30"/>
        <v>216</v>
      </c>
      <c r="S71" s="80">
        <f>ROUND(Phones!D84/$S$1,0)</f>
        <v>10</v>
      </c>
      <c r="T71" s="80">
        <f t="shared" si="31"/>
        <v>240</v>
      </c>
      <c r="U71" s="80" t="str">
        <f t="shared" si="32"/>
        <v xml:space="preserve"> 024</v>
      </c>
      <c r="V71" s="80" t="str">
        <f t="shared" si="33"/>
        <v xml:space="preserve"> 004</v>
      </c>
      <c r="W71" s="80" t="str">
        <f t="shared" si="34"/>
        <v xml:space="preserve"> 015</v>
      </c>
    </row>
    <row r="72" spans="1:23" x14ac:dyDescent="0.2">
      <c r="A72" s="75" t="s">
        <v>155</v>
      </c>
      <c r="B72" s="216">
        <v>31</v>
      </c>
      <c r="C72" s="75" t="s">
        <v>165</v>
      </c>
      <c r="D72" s="80">
        <f t="shared" si="18"/>
        <v>32</v>
      </c>
      <c r="E72" s="80">
        <f t="shared" si="19"/>
        <v>9.6999999999999993</v>
      </c>
      <c r="F72" s="217">
        <v>22.3</v>
      </c>
      <c r="G72" s="80">
        <f t="shared" si="20"/>
        <v>4</v>
      </c>
      <c r="H72" s="80">
        <f t="shared" si="21"/>
        <v>48</v>
      </c>
      <c r="I72" s="80">
        <f t="shared" si="22"/>
        <v>15</v>
      </c>
      <c r="J72" s="80">
        <f t="shared" si="23"/>
        <v>4.5999999999999996</v>
      </c>
      <c r="K72" s="80">
        <f t="shared" si="24"/>
        <v>55.199999999999996</v>
      </c>
      <c r="L72" s="80">
        <f t="shared" si="25"/>
        <v>0.59999999999999964</v>
      </c>
      <c r="M72" s="80">
        <f t="shared" si="26"/>
        <v>7.1999999999999957</v>
      </c>
      <c r="N72" s="224">
        <f t="shared" si="27"/>
        <v>7.2</v>
      </c>
      <c r="O72" s="296" t="str">
        <f t="shared" si="28"/>
        <v>c:\\3cx\\Fanvil\\jpg\\EHS20.jpg</v>
      </c>
      <c r="P72" s="296" t="str">
        <f t="shared" si="29"/>
        <v>https://lvoip.lu/3cx/Fanvil/pdf/EHS20.pdf</v>
      </c>
      <c r="Q72" s="80">
        <f>ROUND(Phones!D85/$Q$1,0)</f>
        <v>11</v>
      </c>
      <c r="R72" s="80">
        <f t="shared" si="30"/>
        <v>132</v>
      </c>
      <c r="S72" s="80">
        <f>ROUND(Phones!D85/$S$1,0)</f>
        <v>6</v>
      </c>
      <c r="T72" s="80">
        <f t="shared" si="31"/>
        <v>144</v>
      </c>
      <c r="U72" s="80" t="str">
        <f t="shared" si="32"/>
        <v xml:space="preserve"> 032</v>
      </c>
      <c r="V72" s="80" t="str">
        <f t="shared" si="33"/>
        <v xml:space="preserve"> 004</v>
      </c>
      <c r="W72" s="80" t="str">
        <f t="shared" si="34"/>
        <v xml:space="preserve"> 015</v>
      </c>
    </row>
    <row r="73" spans="1:23" x14ac:dyDescent="0.2">
      <c r="A73" s="75" t="s">
        <v>155</v>
      </c>
      <c r="B73" s="216">
        <v>32</v>
      </c>
      <c r="C73" s="75" t="s">
        <v>163</v>
      </c>
      <c r="D73" s="80">
        <f t="shared" si="18"/>
        <v>6</v>
      </c>
      <c r="E73" s="80">
        <f t="shared" si="19"/>
        <v>2.1</v>
      </c>
      <c r="F73" s="217">
        <v>3.9</v>
      </c>
      <c r="G73" s="80">
        <f t="shared" si="20"/>
        <v>4</v>
      </c>
      <c r="H73" s="80">
        <f t="shared" si="21"/>
        <v>48</v>
      </c>
      <c r="I73" s="80">
        <f t="shared" si="22"/>
        <v>15</v>
      </c>
      <c r="J73" s="80">
        <f t="shared" si="23"/>
        <v>4.5999999999999996</v>
      </c>
      <c r="K73" s="80">
        <f t="shared" si="24"/>
        <v>55.199999999999996</v>
      </c>
      <c r="L73" s="80">
        <f t="shared" si="25"/>
        <v>0.59999999999999964</v>
      </c>
      <c r="M73" s="80">
        <f t="shared" si="26"/>
        <v>7.1999999999999957</v>
      </c>
      <c r="N73" s="224">
        <f t="shared" si="27"/>
        <v>1.35</v>
      </c>
      <c r="O73" s="296" t="str">
        <f t="shared" si="28"/>
        <v>c:\\3cx\\Fanvil\\jpg\\PSU-12.jpg</v>
      </c>
      <c r="P73" s="296" t="str">
        <f t="shared" si="29"/>
        <v>https://lvoip.lu/3cx/Fanvil/pdf/PSU-12.pdf</v>
      </c>
      <c r="Q73" s="80">
        <f>ROUND(Phones!D86/$Q$1,0)</f>
        <v>9</v>
      </c>
      <c r="R73" s="80">
        <f t="shared" si="30"/>
        <v>108</v>
      </c>
      <c r="S73" s="80">
        <f>ROUND(Phones!D86/$S$1,0)</f>
        <v>5</v>
      </c>
      <c r="T73" s="80">
        <f t="shared" si="31"/>
        <v>120</v>
      </c>
      <c r="U73" s="80" t="str">
        <f t="shared" si="32"/>
        <v xml:space="preserve"> 006</v>
      </c>
      <c r="V73" s="80" t="str">
        <f t="shared" si="33"/>
        <v xml:space="preserve"> 004</v>
      </c>
      <c r="W73" s="80" t="str">
        <f t="shared" si="34"/>
        <v xml:space="preserve"> 015</v>
      </c>
    </row>
    <row r="74" spans="1:23" x14ac:dyDescent="0.2">
      <c r="A74" s="75" t="s">
        <v>155</v>
      </c>
      <c r="B74" s="216">
        <v>33</v>
      </c>
      <c r="C74" s="75" t="s">
        <v>162</v>
      </c>
      <c r="D74" s="80">
        <f t="shared" si="18"/>
        <v>6</v>
      </c>
      <c r="E74" s="80">
        <f t="shared" si="19"/>
        <v>2.1</v>
      </c>
      <c r="F74" s="217">
        <v>3.9</v>
      </c>
      <c r="G74" s="80">
        <f t="shared" si="20"/>
        <v>4</v>
      </c>
      <c r="H74" s="80">
        <f t="shared" si="21"/>
        <v>48</v>
      </c>
      <c r="I74" s="80">
        <f t="shared" si="22"/>
        <v>15</v>
      </c>
      <c r="J74" s="80">
        <f t="shared" si="23"/>
        <v>4.5999999999999996</v>
      </c>
      <c r="K74" s="80">
        <f t="shared" si="24"/>
        <v>55.199999999999996</v>
      </c>
      <c r="L74" s="80">
        <f t="shared" si="25"/>
        <v>0.59999999999999964</v>
      </c>
      <c r="M74" s="80">
        <f t="shared" si="26"/>
        <v>7.1999999999999957</v>
      </c>
      <c r="N74" s="224">
        <f t="shared" si="27"/>
        <v>1.35</v>
      </c>
      <c r="O74" s="296" t="str">
        <f t="shared" si="28"/>
        <v>c:\\3cx\\Fanvil\\jpg\\PSU-5.jpg</v>
      </c>
      <c r="P74" s="296" t="str">
        <f t="shared" si="29"/>
        <v>https://lvoip.lu/3cx/Fanvil/pdf/PSU-5.pdf</v>
      </c>
      <c r="Q74" s="80">
        <f>ROUND(Phones!D87/$Q$1,0)</f>
        <v>8</v>
      </c>
      <c r="R74" s="80">
        <f t="shared" si="30"/>
        <v>96</v>
      </c>
      <c r="S74" s="80">
        <f>ROUND(Phones!D87/$S$1,0)</f>
        <v>4</v>
      </c>
      <c r="T74" s="80">
        <f t="shared" si="31"/>
        <v>96</v>
      </c>
      <c r="U74" s="80" t="str">
        <f t="shared" si="32"/>
        <v xml:space="preserve"> 006</v>
      </c>
      <c r="V74" s="80" t="str">
        <f t="shared" si="33"/>
        <v xml:space="preserve"> 004</v>
      </c>
      <c r="W74" s="80" t="str">
        <f t="shared" si="34"/>
        <v xml:space="preserve"> 015</v>
      </c>
    </row>
    <row r="75" spans="1:23" x14ac:dyDescent="0.2">
      <c r="A75" s="75" t="s">
        <v>155</v>
      </c>
      <c r="B75" s="216">
        <v>99</v>
      </c>
      <c r="C75" s="75" t="s">
        <v>307</v>
      </c>
      <c r="D75" s="80">
        <f t="shared" si="18"/>
        <v>741</v>
      </c>
      <c r="E75" s="80">
        <f t="shared" si="19"/>
        <v>222</v>
      </c>
      <c r="F75" s="349">
        <v>519</v>
      </c>
      <c r="G75" s="80">
        <f t="shared" si="20"/>
        <v>11</v>
      </c>
      <c r="H75" s="80">
        <f t="shared" si="21"/>
        <v>132</v>
      </c>
      <c r="I75" s="80">
        <f t="shared" si="22"/>
        <v>35</v>
      </c>
      <c r="J75" s="80">
        <f t="shared" si="23"/>
        <v>12.65</v>
      </c>
      <c r="K75" s="80">
        <f t="shared" si="24"/>
        <v>151.80000000000001</v>
      </c>
      <c r="L75" s="80">
        <f t="shared" si="25"/>
        <v>1.6500000000000004</v>
      </c>
      <c r="M75" s="80">
        <f t="shared" si="26"/>
        <v>19.800000000000004</v>
      </c>
      <c r="N75" s="224">
        <f t="shared" si="27"/>
        <v>166.72499999999999</v>
      </c>
      <c r="O75" s="296" t="str">
        <f t="shared" si="28"/>
        <v>c:\\3cx\\Fanvil\\jpg\\i33V.jpg</v>
      </c>
      <c r="P75" s="296" t="str">
        <f t="shared" si="29"/>
        <v>https://lvoip.lu/3cx/Fanvil/pdf/i33V.pdf</v>
      </c>
      <c r="Q75" s="80">
        <f>ROUND(Phones!D71/$Q$1,0)</f>
        <v>2</v>
      </c>
      <c r="R75" s="80">
        <f t="shared" si="30"/>
        <v>24</v>
      </c>
      <c r="S75" s="80">
        <f>ROUND(Phones!D71/$S$1,0)</f>
        <v>1</v>
      </c>
      <c r="T75" s="80">
        <f t="shared" si="31"/>
        <v>24</v>
      </c>
      <c r="U75" s="80" t="str">
        <f t="shared" si="32"/>
        <v xml:space="preserve"> 741</v>
      </c>
      <c r="V75" s="80" t="str">
        <f t="shared" si="33"/>
        <v xml:space="preserve"> 011</v>
      </c>
      <c r="W75" s="80" t="str">
        <f t="shared" si="34"/>
        <v xml:space="preserve"> 035</v>
      </c>
    </row>
    <row r="76" spans="1:23" x14ac:dyDescent="0.2">
      <c r="A76" s="75" t="s">
        <v>155</v>
      </c>
      <c r="B76" s="216">
        <v>99</v>
      </c>
      <c r="C76" s="75" t="s">
        <v>161</v>
      </c>
      <c r="D76" s="80">
        <f t="shared" si="18"/>
        <v>550</v>
      </c>
      <c r="E76" s="80">
        <f t="shared" si="19"/>
        <v>164.89999999999998</v>
      </c>
      <c r="F76" s="217">
        <v>385.1</v>
      </c>
      <c r="G76" s="80">
        <f t="shared" si="20"/>
        <v>11</v>
      </c>
      <c r="H76" s="80">
        <f t="shared" si="21"/>
        <v>132</v>
      </c>
      <c r="I76" s="80">
        <f t="shared" si="22"/>
        <v>35</v>
      </c>
      <c r="J76" s="80">
        <f t="shared" si="23"/>
        <v>12.65</v>
      </c>
      <c r="K76" s="80">
        <f t="shared" si="24"/>
        <v>151.80000000000001</v>
      </c>
      <c r="L76" s="80">
        <f t="shared" si="25"/>
        <v>1.6500000000000004</v>
      </c>
      <c r="M76" s="80">
        <f t="shared" si="26"/>
        <v>19.800000000000004</v>
      </c>
      <c r="N76" s="224">
        <f t="shared" si="27"/>
        <v>123.75</v>
      </c>
      <c r="O76" s="296" t="str">
        <f t="shared" si="28"/>
        <v>c:\\3cx\\Fanvil\\jpg\\I31S.jpg</v>
      </c>
      <c r="P76" s="296" t="str">
        <f t="shared" si="29"/>
        <v>https://lvoip.lu/3cx/Fanvil/pdf/I31S.pdf</v>
      </c>
      <c r="Q76" s="80">
        <f>ROUND(Phones!D48/$Q$1,0)</f>
        <v>35</v>
      </c>
      <c r="R76" s="80">
        <f t="shared" si="30"/>
        <v>420</v>
      </c>
      <c r="S76" s="80">
        <f>ROUND(Phones!D48/$S$1,0)</f>
        <v>19</v>
      </c>
      <c r="T76" s="80">
        <f t="shared" si="31"/>
        <v>456</v>
      </c>
      <c r="U76" s="80" t="str">
        <f t="shared" si="32"/>
        <v xml:space="preserve"> 550</v>
      </c>
      <c r="V76" s="80" t="str">
        <f t="shared" si="33"/>
        <v xml:space="preserve"> 011</v>
      </c>
      <c r="W76" s="80" t="str">
        <f t="shared" si="34"/>
        <v xml:space="preserve"> 035</v>
      </c>
    </row>
    <row r="77" spans="1:23" x14ac:dyDescent="0.2">
      <c r="A77" s="75" t="s">
        <v>155</v>
      </c>
      <c r="B77" s="216">
        <v>99</v>
      </c>
      <c r="C77" s="75" t="s">
        <v>159</v>
      </c>
      <c r="D77" s="80">
        <f t="shared" si="18"/>
        <v>462</v>
      </c>
      <c r="E77" s="80">
        <f t="shared" si="19"/>
        <v>138.80000000000001</v>
      </c>
      <c r="F77" s="217">
        <v>323.2</v>
      </c>
      <c r="G77" s="80">
        <f t="shared" si="20"/>
        <v>11</v>
      </c>
      <c r="H77" s="80">
        <f t="shared" si="21"/>
        <v>132</v>
      </c>
      <c r="I77" s="80">
        <f t="shared" si="22"/>
        <v>35</v>
      </c>
      <c r="J77" s="80">
        <f t="shared" si="23"/>
        <v>12.65</v>
      </c>
      <c r="K77" s="80">
        <f t="shared" si="24"/>
        <v>151.80000000000001</v>
      </c>
      <c r="L77" s="80">
        <f t="shared" si="25"/>
        <v>1.6500000000000004</v>
      </c>
      <c r="M77" s="80">
        <f t="shared" si="26"/>
        <v>19.800000000000004</v>
      </c>
      <c r="N77" s="224">
        <f t="shared" si="27"/>
        <v>103.95</v>
      </c>
      <c r="O77" s="296" t="str">
        <f t="shared" si="28"/>
        <v>c:\\3cx\\Fanvil\\jpg\\I18-video.jpg</v>
      </c>
      <c r="P77" s="296" t="str">
        <f t="shared" si="29"/>
        <v>https://lvoip.lu/3cx/Fanvil/pdf/I18-video.pdf</v>
      </c>
      <c r="Q77" s="80">
        <f>ROUND(Phones!D49/$Q$1,0)</f>
        <v>25</v>
      </c>
      <c r="R77" s="80">
        <f t="shared" si="30"/>
        <v>300</v>
      </c>
      <c r="S77" s="80">
        <f>ROUND(Phones!D49/$S$1,0)</f>
        <v>14</v>
      </c>
      <c r="T77" s="80">
        <f t="shared" si="31"/>
        <v>336</v>
      </c>
      <c r="U77" s="80" t="str">
        <f t="shared" si="32"/>
        <v xml:space="preserve"> 462</v>
      </c>
      <c r="V77" s="80" t="str">
        <f t="shared" si="33"/>
        <v xml:space="preserve"> 011</v>
      </c>
      <c r="W77" s="80" t="str">
        <f t="shared" si="34"/>
        <v xml:space="preserve"> 035</v>
      </c>
    </row>
    <row r="78" spans="1:23" x14ac:dyDescent="0.2">
      <c r="A78" s="75" t="s">
        <v>155</v>
      </c>
      <c r="B78" s="216">
        <v>99</v>
      </c>
      <c r="C78" s="75" t="s">
        <v>305</v>
      </c>
      <c r="D78" s="80">
        <f t="shared" si="18"/>
        <v>371</v>
      </c>
      <c r="E78" s="80">
        <f t="shared" si="19"/>
        <v>111.19999999999999</v>
      </c>
      <c r="F78" s="349">
        <v>259.8</v>
      </c>
      <c r="G78" s="80">
        <f t="shared" si="20"/>
        <v>10</v>
      </c>
      <c r="H78" s="80">
        <f t="shared" si="21"/>
        <v>120</v>
      </c>
      <c r="I78" s="80">
        <f t="shared" si="22"/>
        <v>35</v>
      </c>
      <c r="J78" s="80">
        <f t="shared" si="23"/>
        <v>11.5</v>
      </c>
      <c r="K78" s="80">
        <f t="shared" si="24"/>
        <v>138</v>
      </c>
      <c r="L78" s="80">
        <f t="shared" si="25"/>
        <v>1.5</v>
      </c>
      <c r="M78" s="80">
        <f t="shared" si="26"/>
        <v>18</v>
      </c>
      <c r="N78" s="224">
        <f t="shared" si="27"/>
        <v>83.475000000000009</v>
      </c>
      <c r="O78" s="296" t="str">
        <f t="shared" si="28"/>
        <v>c:\\3cx\\Fanvil\\jpg\\i23S.jpg</v>
      </c>
      <c r="P78" s="296" t="str">
        <f t="shared" si="29"/>
        <v>https://lvoip.lu/3cx/Fanvil/pdf/i23S.pdf</v>
      </c>
      <c r="Q78" s="80">
        <f>ROUND(Phones!D69/$Q$1,0)</f>
        <v>4</v>
      </c>
      <c r="R78" s="80">
        <f t="shared" si="30"/>
        <v>48</v>
      </c>
      <c r="S78" s="80">
        <f>ROUND(Phones!D69/$S$1,0)</f>
        <v>2</v>
      </c>
      <c r="T78" s="80">
        <f t="shared" si="31"/>
        <v>48</v>
      </c>
      <c r="U78" s="80" t="str">
        <f t="shared" si="32"/>
        <v xml:space="preserve"> 371</v>
      </c>
      <c r="V78" s="80" t="str">
        <f t="shared" si="33"/>
        <v xml:space="preserve"> 010</v>
      </c>
      <c r="W78" s="80" t="str">
        <f t="shared" si="34"/>
        <v xml:space="preserve"> 035</v>
      </c>
    </row>
    <row r="79" spans="1:23" x14ac:dyDescent="0.2">
      <c r="A79" s="75" t="s">
        <v>155</v>
      </c>
      <c r="B79" s="216">
        <v>99</v>
      </c>
      <c r="C79" s="75" t="s">
        <v>160</v>
      </c>
      <c r="D79" s="80">
        <f t="shared" si="18"/>
        <v>301</v>
      </c>
      <c r="E79" s="80">
        <f t="shared" si="19"/>
        <v>90.1</v>
      </c>
      <c r="F79" s="217">
        <v>210.9</v>
      </c>
      <c r="G79" s="80">
        <f t="shared" si="20"/>
        <v>9</v>
      </c>
      <c r="H79" s="80">
        <f t="shared" si="21"/>
        <v>108</v>
      </c>
      <c r="I79" s="80">
        <f t="shared" si="22"/>
        <v>35</v>
      </c>
      <c r="J79" s="80">
        <f t="shared" si="23"/>
        <v>10.35</v>
      </c>
      <c r="K79" s="80">
        <f t="shared" si="24"/>
        <v>124.19999999999999</v>
      </c>
      <c r="L79" s="80">
        <f t="shared" si="25"/>
        <v>1.3499999999999996</v>
      </c>
      <c r="M79" s="80">
        <f t="shared" si="26"/>
        <v>16.199999999999996</v>
      </c>
      <c r="N79" s="224">
        <f t="shared" si="27"/>
        <v>67.725000000000009</v>
      </c>
      <c r="O79" s="296" t="str">
        <f t="shared" si="28"/>
        <v>c:\\3cx\\Fanvil\\jpg\\I30-video.jpg</v>
      </c>
      <c r="P79" s="296" t="str">
        <f t="shared" si="29"/>
        <v>https://lvoip.lu/3cx/Fanvil/pdf/I30-video.pdf</v>
      </c>
      <c r="Q79" s="80">
        <f>ROUND(Phones!D51/$Q$1,0)</f>
        <v>21</v>
      </c>
      <c r="R79" s="80">
        <f t="shared" si="30"/>
        <v>252</v>
      </c>
      <c r="S79" s="80">
        <f>ROUND(Phones!D51/$S$1,0)</f>
        <v>11</v>
      </c>
      <c r="T79" s="80">
        <f t="shared" si="31"/>
        <v>264</v>
      </c>
      <c r="U79" s="80" t="str">
        <f t="shared" si="32"/>
        <v xml:space="preserve"> 301</v>
      </c>
      <c r="V79" s="80" t="str">
        <f t="shared" si="33"/>
        <v xml:space="preserve"> 009</v>
      </c>
      <c r="W79" s="80" t="str">
        <f t="shared" si="34"/>
        <v xml:space="preserve"> 035</v>
      </c>
    </row>
    <row r="80" spans="1:23" x14ac:dyDescent="0.2">
      <c r="A80" s="75" t="s">
        <v>155</v>
      </c>
      <c r="B80" s="216">
        <v>99</v>
      </c>
      <c r="C80" s="75" t="s">
        <v>306</v>
      </c>
      <c r="D80" s="80">
        <f t="shared" si="18"/>
        <v>299</v>
      </c>
      <c r="E80" s="80">
        <f t="shared" si="19"/>
        <v>89.6</v>
      </c>
      <c r="F80" s="349">
        <v>209.4</v>
      </c>
      <c r="G80" s="80">
        <f t="shared" si="20"/>
        <v>8</v>
      </c>
      <c r="H80" s="80">
        <f t="shared" si="21"/>
        <v>96</v>
      </c>
      <c r="I80" s="80">
        <f t="shared" si="22"/>
        <v>35</v>
      </c>
      <c r="J80" s="80">
        <f t="shared" si="23"/>
        <v>9.1999999999999993</v>
      </c>
      <c r="K80" s="80">
        <f t="shared" si="24"/>
        <v>110.39999999999999</v>
      </c>
      <c r="L80" s="80">
        <f t="shared" si="25"/>
        <v>1.1999999999999993</v>
      </c>
      <c r="M80" s="80">
        <f t="shared" si="26"/>
        <v>14.399999999999991</v>
      </c>
      <c r="N80" s="224">
        <f t="shared" si="27"/>
        <v>67.275000000000006</v>
      </c>
      <c r="O80" s="296" t="str">
        <f t="shared" si="28"/>
        <v>c:\\3cx\\Fanvil\\jpg\\i32V.jpg</v>
      </c>
      <c r="P80" s="296" t="str">
        <f t="shared" si="29"/>
        <v>https://lvoip.lu/3cx/Fanvil/pdf/i32V.pdf</v>
      </c>
      <c r="Q80" s="80">
        <f>ROUND(Phones!D70/$Q$1,0)</f>
        <v>4</v>
      </c>
      <c r="R80" s="80">
        <f t="shared" si="30"/>
        <v>48</v>
      </c>
      <c r="S80" s="80">
        <f>ROUND(Phones!D70/$S$1,0)</f>
        <v>2</v>
      </c>
      <c r="T80" s="80">
        <f t="shared" si="31"/>
        <v>48</v>
      </c>
      <c r="U80" s="80" t="str">
        <f t="shared" si="32"/>
        <v xml:space="preserve"> 299</v>
      </c>
      <c r="V80" s="80" t="str">
        <f t="shared" si="33"/>
        <v xml:space="preserve"> 008</v>
      </c>
      <c r="W80" s="80" t="str">
        <f t="shared" si="34"/>
        <v xml:space="preserve"> 035</v>
      </c>
    </row>
    <row r="81" spans="1:23" x14ac:dyDescent="0.2">
      <c r="A81" s="75" t="s">
        <v>155</v>
      </c>
      <c r="B81" s="216">
        <v>99</v>
      </c>
      <c r="C81" s="75" t="s">
        <v>303</v>
      </c>
      <c r="D81" s="80">
        <f t="shared" si="18"/>
        <v>260</v>
      </c>
      <c r="E81" s="80">
        <f t="shared" si="19"/>
        <v>77.900000000000006</v>
      </c>
      <c r="F81" s="349">
        <v>182.1</v>
      </c>
      <c r="G81" s="80">
        <f t="shared" si="20"/>
        <v>8</v>
      </c>
      <c r="H81" s="80">
        <f t="shared" si="21"/>
        <v>96</v>
      </c>
      <c r="I81" s="80">
        <f t="shared" si="22"/>
        <v>35</v>
      </c>
      <c r="J81" s="80">
        <f t="shared" si="23"/>
        <v>9.1999999999999993</v>
      </c>
      <c r="K81" s="80">
        <f t="shared" si="24"/>
        <v>110.39999999999999</v>
      </c>
      <c r="L81" s="80">
        <f t="shared" si="25"/>
        <v>1.1999999999999993</v>
      </c>
      <c r="M81" s="80">
        <f t="shared" si="26"/>
        <v>14.399999999999991</v>
      </c>
      <c r="N81" s="224">
        <f t="shared" si="27"/>
        <v>58.5</v>
      </c>
      <c r="O81" s="296" t="str">
        <f t="shared" si="28"/>
        <v>c:\\3cx\\Fanvil\\jpg\\I16V.jpg</v>
      </c>
      <c r="P81" s="296" t="str">
        <f t="shared" si="29"/>
        <v>https://lvoip.lu/3cx/Fanvil/pdf/I16V.pdf</v>
      </c>
      <c r="Q81" s="80">
        <f>ROUND(Phones!D67/$Q$1,0)</f>
        <v>5</v>
      </c>
      <c r="R81" s="80">
        <f t="shared" si="30"/>
        <v>60</v>
      </c>
      <c r="S81" s="80">
        <f>ROUND(Phones!D67/$S$1,0)</f>
        <v>3</v>
      </c>
      <c r="T81" s="80">
        <f t="shared" si="31"/>
        <v>72</v>
      </c>
      <c r="U81" s="80" t="str">
        <f t="shared" si="32"/>
        <v xml:space="preserve"> 260</v>
      </c>
      <c r="V81" s="80" t="str">
        <f t="shared" si="33"/>
        <v xml:space="preserve"> 008</v>
      </c>
      <c r="W81" s="80" t="str">
        <f t="shared" si="34"/>
        <v xml:space="preserve"> 035</v>
      </c>
    </row>
    <row r="82" spans="1:23" x14ac:dyDescent="0.2">
      <c r="A82" s="75" t="s">
        <v>155</v>
      </c>
      <c r="B82" s="216">
        <v>99</v>
      </c>
      <c r="C82" s="75" t="s">
        <v>236</v>
      </c>
      <c r="D82" s="80">
        <f t="shared" si="18"/>
        <v>219</v>
      </c>
      <c r="E82" s="80">
        <f t="shared" si="19"/>
        <v>65.699999999999989</v>
      </c>
      <c r="F82" s="217">
        <v>153.30000000000001</v>
      </c>
      <c r="G82" s="80">
        <f t="shared" si="20"/>
        <v>7</v>
      </c>
      <c r="H82" s="80">
        <f t="shared" si="21"/>
        <v>84</v>
      </c>
      <c r="I82" s="80">
        <f t="shared" si="22"/>
        <v>35</v>
      </c>
      <c r="J82" s="80">
        <f t="shared" si="23"/>
        <v>8.0500000000000007</v>
      </c>
      <c r="K82" s="80">
        <f t="shared" si="24"/>
        <v>96.600000000000009</v>
      </c>
      <c r="L82" s="80">
        <f t="shared" si="25"/>
        <v>1.0500000000000007</v>
      </c>
      <c r="M82" s="80">
        <f t="shared" si="26"/>
        <v>12.600000000000009</v>
      </c>
      <c r="N82" s="224">
        <f t="shared" si="27"/>
        <v>49.274999999999999</v>
      </c>
      <c r="O82" s="296" t="str">
        <f t="shared" si="28"/>
        <v>c:\\3cx\\Fanvil\\jpg\\I12-2button.jpg</v>
      </c>
      <c r="P82" s="296" t="str">
        <f t="shared" si="29"/>
        <v>https://lvoip.lu/3cx/Fanvil/pdf/I12-2button.pdf</v>
      </c>
      <c r="Q82" s="80">
        <f>ROUND(Phones!D55/$Q$1,0)</f>
        <v>13</v>
      </c>
      <c r="R82" s="80">
        <f t="shared" si="30"/>
        <v>156</v>
      </c>
      <c r="S82" s="80">
        <f>ROUND(Phones!D55/$S$1,0)</f>
        <v>7</v>
      </c>
      <c r="T82" s="80">
        <f t="shared" si="31"/>
        <v>168</v>
      </c>
      <c r="U82" s="80" t="str">
        <f t="shared" si="32"/>
        <v xml:space="preserve"> 219</v>
      </c>
      <c r="V82" s="80" t="str">
        <f t="shared" si="33"/>
        <v xml:space="preserve"> 007</v>
      </c>
      <c r="W82" s="80" t="str">
        <f t="shared" si="34"/>
        <v xml:space="preserve"> 035</v>
      </c>
    </row>
    <row r="83" spans="1:23" x14ac:dyDescent="0.2">
      <c r="A83" s="75" t="s">
        <v>155</v>
      </c>
      <c r="B83" s="216">
        <v>99</v>
      </c>
      <c r="C83" s="75" t="s">
        <v>304</v>
      </c>
      <c r="D83" s="80">
        <f t="shared" si="18"/>
        <v>192</v>
      </c>
      <c r="E83" s="80">
        <f t="shared" si="19"/>
        <v>57.400000000000006</v>
      </c>
      <c r="F83" s="349">
        <v>134.6</v>
      </c>
      <c r="G83" s="80">
        <f t="shared" si="20"/>
        <v>6</v>
      </c>
      <c r="H83" s="80">
        <f t="shared" si="21"/>
        <v>72</v>
      </c>
      <c r="I83" s="80">
        <f t="shared" si="22"/>
        <v>35</v>
      </c>
      <c r="J83" s="80">
        <f t="shared" si="23"/>
        <v>6.9</v>
      </c>
      <c r="K83" s="80">
        <f t="shared" si="24"/>
        <v>82.800000000000011</v>
      </c>
      <c r="L83" s="80">
        <f t="shared" si="25"/>
        <v>0.90000000000000036</v>
      </c>
      <c r="M83" s="80">
        <f t="shared" si="26"/>
        <v>10.800000000000004</v>
      </c>
      <c r="N83" s="224">
        <f t="shared" si="27"/>
        <v>43.2</v>
      </c>
      <c r="O83" s="296" t="str">
        <f t="shared" si="28"/>
        <v>c:\\3cx\\Fanvil\\jpg\\I20S.jpg</v>
      </c>
      <c r="P83" s="296" t="str">
        <f t="shared" si="29"/>
        <v>https://lvoip.lu/3cx/Fanvil/pdf/I20S.pdf</v>
      </c>
      <c r="Q83" s="80">
        <f>ROUND(Phones!D68/$Q$1,0)</f>
        <v>5</v>
      </c>
      <c r="R83" s="80">
        <f t="shared" si="30"/>
        <v>60</v>
      </c>
      <c r="S83" s="80">
        <f>ROUND(Phones!D68/$S$1,0)</f>
        <v>3</v>
      </c>
      <c r="T83" s="80">
        <f t="shared" si="31"/>
        <v>72</v>
      </c>
      <c r="U83" s="80" t="str">
        <f t="shared" si="32"/>
        <v xml:space="preserve"> 192</v>
      </c>
      <c r="V83" s="80" t="str">
        <f t="shared" si="33"/>
        <v xml:space="preserve"> 006</v>
      </c>
      <c r="W83" s="80" t="str">
        <f t="shared" si="34"/>
        <v xml:space="preserve"> 035</v>
      </c>
    </row>
    <row r="84" spans="1:23" x14ac:dyDescent="0.2">
      <c r="A84" s="75" t="s">
        <v>155</v>
      </c>
      <c r="B84" s="216">
        <v>99</v>
      </c>
      <c r="C84" s="75" t="s">
        <v>158</v>
      </c>
      <c r="D84" s="80">
        <f t="shared" si="18"/>
        <v>188</v>
      </c>
      <c r="E84" s="80">
        <f t="shared" si="19"/>
        <v>56.300000000000011</v>
      </c>
      <c r="F84" s="217">
        <v>131.69999999999999</v>
      </c>
      <c r="G84" s="80">
        <f t="shared" si="20"/>
        <v>6</v>
      </c>
      <c r="H84" s="80">
        <f t="shared" si="21"/>
        <v>72</v>
      </c>
      <c r="I84" s="80">
        <f t="shared" si="22"/>
        <v>35</v>
      </c>
      <c r="J84" s="80">
        <f t="shared" si="23"/>
        <v>6.9</v>
      </c>
      <c r="K84" s="80">
        <f t="shared" si="24"/>
        <v>82.800000000000011</v>
      </c>
      <c r="L84" s="80">
        <f t="shared" si="25"/>
        <v>0.90000000000000036</v>
      </c>
      <c r="M84" s="80">
        <f t="shared" si="26"/>
        <v>10.800000000000004</v>
      </c>
      <c r="N84" s="224">
        <f t="shared" si="27"/>
        <v>42.300000000000004</v>
      </c>
      <c r="O84" s="296" t="str">
        <f t="shared" si="28"/>
        <v>c:\\3cx\\Fanvil\\jpg\\I12.jpg</v>
      </c>
      <c r="P84" s="296" t="str">
        <f t="shared" si="29"/>
        <v>https://lvoip.lu/3cx/Fanvil/pdf/I12.pdf</v>
      </c>
      <c r="Q84" s="80">
        <f>ROUND(Phones!D56/$Q$1,0)</f>
        <v>10</v>
      </c>
      <c r="R84" s="80">
        <f t="shared" si="30"/>
        <v>120</v>
      </c>
      <c r="S84" s="80">
        <f>ROUND(Phones!D56/$S$1,0)</f>
        <v>5</v>
      </c>
      <c r="T84" s="80">
        <f t="shared" si="31"/>
        <v>120</v>
      </c>
      <c r="U84" s="80" t="str">
        <f t="shared" si="32"/>
        <v xml:space="preserve"> 188</v>
      </c>
      <c r="V84" s="80" t="str">
        <f t="shared" si="33"/>
        <v xml:space="preserve"> 006</v>
      </c>
      <c r="W84" s="80" t="str">
        <f t="shared" si="34"/>
        <v xml:space="preserve"> 035</v>
      </c>
    </row>
    <row r="85" spans="1:23" x14ac:dyDescent="0.2">
      <c r="A85" s="75" t="s">
        <v>155</v>
      </c>
      <c r="B85" s="216">
        <v>99</v>
      </c>
      <c r="C85" s="75" t="s">
        <v>301</v>
      </c>
      <c r="D85" s="80">
        <f t="shared" si="18"/>
        <v>116</v>
      </c>
      <c r="E85" s="80">
        <f t="shared" si="19"/>
        <v>34.700000000000003</v>
      </c>
      <c r="F85" s="349">
        <v>81.3</v>
      </c>
      <c r="G85" s="80">
        <f t="shared" si="20"/>
        <v>5</v>
      </c>
      <c r="H85" s="80">
        <f t="shared" si="21"/>
        <v>60</v>
      </c>
      <c r="I85" s="80">
        <f t="shared" si="22"/>
        <v>35</v>
      </c>
      <c r="J85" s="80">
        <f t="shared" si="23"/>
        <v>5.75</v>
      </c>
      <c r="K85" s="80">
        <f t="shared" si="24"/>
        <v>69</v>
      </c>
      <c r="L85" s="80">
        <f t="shared" si="25"/>
        <v>0.75</v>
      </c>
      <c r="M85" s="80">
        <f t="shared" si="26"/>
        <v>9</v>
      </c>
      <c r="N85" s="224">
        <f t="shared" si="27"/>
        <v>26.1</v>
      </c>
      <c r="O85" s="296" t="str">
        <f t="shared" si="28"/>
        <v>c:\\3cx\\Fanvil\\jpg\\I10V.jpg</v>
      </c>
      <c r="P85" s="296" t="str">
        <f t="shared" si="29"/>
        <v>https://lvoip.lu/3cx/Fanvil/pdf/I10V.pdf</v>
      </c>
      <c r="Q85" s="80">
        <f>ROUND(Phones!D65/$Q$1,0)</f>
        <v>5</v>
      </c>
      <c r="R85" s="80">
        <f t="shared" si="30"/>
        <v>60</v>
      </c>
      <c r="S85" s="80">
        <f>ROUND(Phones!D65/$S$1,0)</f>
        <v>3</v>
      </c>
      <c r="T85" s="80">
        <f t="shared" si="31"/>
        <v>72</v>
      </c>
      <c r="U85" s="80" t="str">
        <f t="shared" si="32"/>
        <v xml:space="preserve"> 116</v>
      </c>
      <c r="V85" s="80" t="str">
        <f t="shared" si="33"/>
        <v xml:space="preserve"> 005</v>
      </c>
      <c r="W85" s="80" t="str">
        <f t="shared" si="34"/>
        <v xml:space="preserve"> 035</v>
      </c>
    </row>
    <row r="86" spans="1:23" x14ac:dyDescent="0.2">
      <c r="A86" s="75" t="s">
        <v>155</v>
      </c>
      <c r="B86" s="216">
        <v>99</v>
      </c>
      <c r="C86" s="75" t="s">
        <v>302</v>
      </c>
      <c r="D86" s="80">
        <f t="shared" si="18"/>
        <v>96</v>
      </c>
      <c r="E86" s="80">
        <f t="shared" si="19"/>
        <v>29.099999999999994</v>
      </c>
      <c r="F86" s="349">
        <v>66.900000000000006</v>
      </c>
      <c r="G86" s="80">
        <f t="shared" si="20"/>
        <v>4</v>
      </c>
      <c r="H86" s="80">
        <f t="shared" si="21"/>
        <v>48</v>
      </c>
      <c r="I86" s="80">
        <f t="shared" si="22"/>
        <v>25</v>
      </c>
      <c r="J86" s="80">
        <f t="shared" si="23"/>
        <v>4.5999999999999996</v>
      </c>
      <c r="K86" s="80">
        <f t="shared" si="24"/>
        <v>55.199999999999996</v>
      </c>
      <c r="L86" s="80">
        <f t="shared" si="25"/>
        <v>0.59999999999999964</v>
      </c>
      <c r="M86" s="80">
        <f t="shared" si="26"/>
        <v>7.1999999999999957</v>
      </c>
      <c r="N86" s="224">
        <f t="shared" si="27"/>
        <v>21.6</v>
      </c>
      <c r="O86" s="296" t="str">
        <f t="shared" si="28"/>
        <v>c:\\3cx\\Fanvil\\jpg\\I10-02P.jpg</v>
      </c>
      <c r="P86" s="296" t="str">
        <f t="shared" si="29"/>
        <v>https://lvoip.lu/3cx/Fanvil/pdf/I10-02P.pdf</v>
      </c>
      <c r="Q86" s="80">
        <f>ROUND(Phones!D66/$Q$1,0)</f>
        <v>5</v>
      </c>
      <c r="R86" s="80">
        <f t="shared" si="30"/>
        <v>60</v>
      </c>
      <c r="S86" s="80">
        <f>ROUND(Phones!D66/$S$1,0)</f>
        <v>3</v>
      </c>
      <c r="T86" s="80">
        <f t="shared" si="31"/>
        <v>72</v>
      </c>
      <c r="U86" s="80" t="str">
        <f t="shared" si="32"/>
        <v xml:space="preserve"> 096</v>
      </c>
      <c r="V86" s="80" t="str">
        <f t="shared" si="33"/>
        <v xml:space="preserve"> 004</v>
      </c>
      <c r="W86" s="80" t="str">
        <f t="shared" si="34"/>
        <v xml:space="preserve"> 025</v>
      </c>
    </row>
    <row r="87" spans="1:23" x14ac:dyDescent="0.2">
      <c r="A87" s="75" t="s">
        <v>155</v>
      </c>
      <c r="B87" s="216">
        <v>99</v>
      </c>
      <c r="C87" s="75" t="s">
        <v>285</v>
      </c>
      <c r="D87" s="80">
        <f t="shared" si="18"/>
        <v>85</v>
      </c>
      <c r="E87" s="80">
        <f t="shared" si="19"/>
        <v>25.299999999999997</v>
      </c>
      <c r="F87" s="343">
        <v>59.7</v>
      </c>
      <c r="G87" s="80">
        <f t="shared" si="20"/>
        <v>4</v>
      </c>
      <c r="H87" s="80">
        <f t="shared" si="21"/>
        <v>48</v>
      </c>
      <c r="I87" s="80">
        <f t="shared" si="22"/>
        <v>25</v>
      </c>
      <c r="J87" s="80">
        <f t="shared" si="23"/>
        <v>4.5999999999999996</v>
      </c>
      <c r="K87" s="80">
        <f t="shared" si="24"/>
        <v>55.199999999999996</v>
      </c>
      <c r="L87" s="80">
        <f t="shared" si="25"/>
        <v>0.59999999999999964</v>
      </c>
      <c r="M87" s="80">
        <f t="shared" si="26"/>
        <v>7.1999999999999957</v>
      </c>
      <c r="N87" s="224">
        <f t="shared" si="27"/>
        <v>19.125</v>
      </c>
      <c r="O87" s="296" t="str">
        <f t="shared" si="28"/>
        <v>c:\\3cx\\Fanvil\\jpg\\I10.jpg</v>
      </c>
      <c r="P87" s="296" t="str">
        <f t="shared" si="29"/>
        <v>https://lvoip.lu/3cx/Fanvil/pdf/I10.pdf</v>
      </c>
      <c r="Q87" s="80">
        <f>ROUND(Phones!D64/$Q$1,0)</f>
        <v>5</v>
      </c>
      <c r="R87" s="80">
        <f t="shared" si="30"/>
        <v>60</v>
      </c>
      <c r="S87" s="80">
        <f>ROUND(Phones!D64/$S$1,0)</f>
        <v>3</v>
      </c>
      <c r="T87" s="80">
        <f t="shared" si="31"/>
        <v>72</v>
      </c>
      <c r="U87" s="80" t="str">
        <f t="shared" si="32"/>
        <v xml:space="preserve"> 085</v>
      </c>
      <c r="V87" s="80" t="str">
        <f t="shared" si="33"/>
        <v xml:space="preserve"> 004</v>
      </c>
      <c r="W87" s="80" t="str">
        <f t="shared" si="34"/>
        <v xml:space="preserve"> 025</v>
      </c>
    </row>
    <row r="88" spans="1:23" x14ac:dyDescent="0.2">
      <c r="A88" s="75" t="s">
        <v>40</v>
      </c>
      <c r="B88" s="215">
        <v>1</v>
      </c>
      <c r="C88" s="213" t="s">
        <v>294</v>
      </c>
      <c r="D88" s="80">
        <f t="shared" ref="D88:D124" si="35">ROUND(F88/$E$1,0)</f>
        <v>573</v>
      </c>
      <c r="E88" s="80">
        <f t="shared" ref="E88:E124" si="36">D88-F88</f>
        <v>171.67000000000002</v>
      </c>
      <c r="F88" s="343">
        <v>401.33</v>
      </c>
      <c r="G88" s="80">
        <f t="shared" ref="G88:G105" si="37">VLOOKUP(D88,PrixMaint,2,TRUE)</f>
        <v>11</v>
      </c>
      <c r="H88" s="80">
        <f t="shared" ref="H88:H125" si="38">G88*12</f>
        <v>132</v>
      </c>
      <c r="I88" s="80">
        <f t="shared" ref="I88:I125" si="39">IF(N88&lt;15,15,IF(N88&lt;25,25,35))</f>
        <v>35</v>
      </c>
      <c r="J88" s="80">
        <f t="shared" ref="J88:J125" si="40">G88+(G88*$D$1)</f>
        <v>12.65</v>
      </c>
      <c r="K88" s="80">
        <f t="shared" ref="K88:K125" si="41">J88*12</f>
        <v>151.80000000000001</v>
      </c>
      <c r="L88" s="80">
        <f t="shared" ref="L88:L125" si="42">J88-G88</f>
        <v>1.6500000000000004</v>
      </c>
      <c r="M88" s="80">
        <f t="shared" ref="M88:M125" si="43">L88*12</f>
        <v>19.800000000000004</v>
      </c>
      <c r="N88" s="224">
        <f t="shared" ref="N88:N125" si="44">D88*$N$1</f>
        <v>128.92500000000001</v>
      </c>
      <c r="O88" s="296" t="str">
        <f t="shared" ref="O88:O125" si="45">"c:\\3cx\\"&amp;A88&amp;"\\jpg\\"&amp;C88&amp;".jpg"</f>
        <v>c:\\3cx\\Yealink\\jpg\\VP59.jpg</v>
      </c>
      <c r="P88" s="296" t="str">
        <f t="shared" ref="P88:P125" si="46">"https://lvoip.lu/3cx/"&amp;A88&amp;"/pdf/"&amp;C88&amp;".pdf"</f>
        <v>https://lvoip.lu/3cx/Yealink/pdf/VP59.pdf</v>
      </c>
      <c r="Q88" s="80">
        <f>ROUND(Phones!D88/$Q$1,0)</f>
        <v>54</v>
      </c>
      <c r="R88" s="80">
        <f t="shared" ref="R88:R125" si="47">Q88*12</f>
        <v>648</v>
      </c>
      <c r="S88" s="80">
        <f>ROUND(Phones!D88/$S$1,0)</f>
        <v>30</v>
      </c>
      <c r="T88" s="80">
        <f t="shared" ref="T88:T125" si="48">S88*24</f>
        <v>720</v>
      </c>
      <c r="U88" s="80" t="str">
        <f t="shared" ref="U88:U125" si="49">TEXT(D88,"# ##0.00")</f>
        <v xml:space="preserve"> 573</v>
      </c>
      <c r="V88" s="80" t="str">
        <f t="shared" ref="V88:V125" si="50">TEXT(G88,"# ##0.00")</f>
        <v xml:space="preserve"> 011</v>
      </c>
      <c r="W88" s="80" t="str">
        <f t="shared" ref="W88:W125" si="51">TEXT(I88,"# ##0.00")</f>
        <v xml:space="preserve"> 035</v>
      </c>
    </row>
    <row r="89" spans="1:23" x14ac:dyDescent="0.2">
      <c r="A89" s="75" t="s">
        <v>40</v>
      </c>
      <c r="B89" s="215">
        <v>2</v>
      </c>
      <c r="C89" s="214" t="s">
        <v>179</v>
      </c>
      <c r="D89" s="80">
        <f t="shared" si="35"/>
        <v>304</v>
      </c>
      <c r="E89" s="80">
        <f t="shared" si="36"/>
        <v>91.539999999999992</v>
      </c>
      <c r="F89" s="217">
        <v>212.46</v>
      </c>
      <c r="G89" s="80">
        <f t="shared" si="37"/>
        <v>9</v>
      </c>
      <c r="H89" s="80">
        <f t="shared" si="38"/>
        <v>108</v>
      </c>
      <c r="I89" s="80">
        <f t="shared" si="39"/>
        <v>35</v>
      </c>
      <c r="J89" s="80">
        <f t="shared" si="40"/>
        <v>10.35</v>
      </c>
      <c r="K89" s="80">
        <f t="shared" si="41"/>
        <v>124.19999999999999</v>
      </c>
      <c r="L89" s="80">
        <f t="shared" si="42"/>
        <v>1.3499999999999996</v>
      </c>
      <c r="M89" s="80">
        <f t="shared" si="43"/>
        <v>16.199999999999996</v>
      </c>
      <c r="N89" s="224">
        <f t="shared" si="44"/>
        <v>68.400000000000006</v>
      </c>
      <c r="O89" s="296" t="str">
        <f t="shared" si="45"/>
        <v>c:\\3cx\\Yealink\\jpg\\T58A.jpg</v>
      </c>
      <c r="P89" s="296" t="str">
        <f t="shared" si="46"/>
        <v>https://lvoip.lu/3cx/Yealink/pdf/T58A.pdf</v>
      </c>
      <c r="Q89" s="80">
        <f>ROUND(Phones!D89/$Q$1,0)</f>
        <v>29</v>
      </c>
      <c r="R89" s="80">
        <f t="shared" si="47"/>
        <v>348</v>
      </c>
      <c r="S89" s="80">
        <f>ROUND(Phones!D89/$S$1,0)</f>
        <v>16</v>
      </c>
      <c r="T89" s="80">
        <f t="shared" si="48"/>
        <v>384</v>
      </c>
      <c r="U89" s="80" t="str">
        <f t="shared" si="49"/>
        <v xml:space="preserve"> 304</v>
      </c>
      <c r="V89" s="80" t="str">
        <f t="shared" si="50"/>
        <v xml:space="preserve"> 009</v>
      </c>
      <c r="W89" s="80" t="str">
        <f t="shared" si="51"/>
        <v xml:space="preserve"> 035</v>
      </c>
    </row>
    <row r="90" spans="1:23" x14ac:dyDescent="0.2">
      <c r="A90" s="75" t="s">
        <v>40</v>
      </c>
      <c r="B90" s="215">
        <v>3</v>
      </c>
      <c r="C90" s="214" t="s">
        <v>178</v>
      </c>
      <c r="D90" s="80">
        <f t="shared" si="35"/>
        <v>244</v>
      </c>
      <c r="E90" s="80">
        <f t="shared" si="36"/>
        <v>72.860000000000014</v>
      </c>
      <c r="F90" s="217">
        <v>171.14</v>
      </c>
      <c r="G90" s="80">
        <f t="shared" si="37"/>
        <v>7</v>
      </c>
      <c r="H90" s="80">
        <f t="shared" si="38"/>
        <v>84</v>
      </c>
      <c r="I90" s="80">
        <f t="shared" si="39"/>
        <v>35</v>
      </c>
      <c r="J90" s="80">
        <f t="shared" si="40"/>
        <v>8.0500000000000007</v>
      </c>
      <c r="K90" s="80">
        <f t="shared" si="41"/>
        <v>96.600000000000009</v>
      </c>
      <c r="L90" s="80">
        <f t="shared" si="42"/>
        <v>1.0500000000000007</v>
      </c>
      <c r="M90" s="80">
        <f t="shared" si="43"/>
        <v>12.600000000000009</v>
      </c>
      <c r="N90" s="224">
        <f t="shared" si="44"/>
        <v>54.9</v>
      </c>
      <c r="O90" s="296" t="str">
        <f t="shared" si="45"/>
        <v>c:\\3cx\\Yealink\\jpg\\T57W.jpg</v>
      </c>
      <c r="P90" s="296" t="str">
        <f t="shared" si="46"/>
        <v>https://lvoip.lu/3cx/Yealink/pdf/T57W.pdf</v>
      </c>
      <c r="Q90" s="80">
        <f>ROUND(Phones!D90/$Q$1,0)</f>
        <v>23</v>
      </c>
      <c r="R90" s="80">
        <f t="shared" si="47"/>
        <v>276</v>
      </c>
      <c r="S90" s="80">
        <f>ROUND(Phones!D90/$S$1,0)</f>
        <v>13</v>
      </c>
      <c r="T90" s="80">
        <f t="shared" si="48"/>
        <v>312</v>
      </c>
      <c r="U90" s="80" t="str">
        <f t="shared" si="49"/>
        <v xml:space="preserve"> 244</v>
      </c>
      <c r="V90" s="80" t="str">
        <f t="shared" si="50"/>
        <v xml:space="preserve"> 007</v>
      </c>
      <c r="W90" s="80" t="str">
        <f t="shared" si="51"/>
        <v xml:space="preserve"> 035</v>
      </c>
    </row>
    <row r="91" spans="1:23" x14ac:dyDescent="0.2">
      <c r="A91" s="75" t="s">
        <v>40</v>
      </c>
      <c r="B91" s="215">
        <v>4</v>
      </c>
      <c r="C91" s="214" t="s">
        <v>175</v>
      </c>
      <c r="D91" s="80">
        <f t="shared" si="35"/>
        <v>230</v>
      </c>
      <c r="E91" s="80">
        <f t="shared" si="36"/>
        <v>69.319999999999993</v>
      </c>
      <c r="F91" s="217">
        <v>160.68</v>
      </c>
      <c r="G91" s="80">
        <f t="shared" si="37"/>
        <v>7</v>
      </c>
      <c r="H91" s="80">
        <f t="shared" si="38"/>
        <v>84</v>
      </c>
      <c r="I91" s="80">
        <f t="shared" si="39"/>
        <v>35</v>
      </c>
      <c r="J91" s="80">
        <f t="shared" si="40"/>
        <v>8.0500000000000007</v>
      </c>
      <c r="K91" s="80">
        <f t="shared" si="41"/>
        <v>96.600000000000009</v>
      </c>
      <c r="L91" s="80">
        <f t="shared" si="42"/>
        <v>1.0500000000000007</v>
      </c>
      <c r="M91" s="80">
        <f t="shared" si="43"/>
        <v>12.600000000000009</v>
      </c>
      <c r="N91" s="224">
        <f t="shared" si="44"/>
        <v>51.75</v>
      </c>
      <c r="O91" s="296" t="str">
        <f t="shared" si="45"/>
        <v>c:\\3cx\\Yealink\\jpg\\T48S.jpg</v>
      </c>
      <c r="P91" s="296" t="str">
        <f t="shared" si="46"/>
        <v>https://lvoip.lu/3cx/Yealink/pdf/T48S.pdf</v>
      </c>
      <c r="Q91" s="80">
        <f>ROUND(Phones!D91/$Q$1,0)</f>
        <v>22</v>
      </c>
      <c r="R91" s="80">
        <f t="shared" si="47"/>
        <v>264</v>
      </c>
      <c r="S91" s="80">
        <f>ROUND(Phones!D91/$S$1,0)</f>
        <v>12</v>
      </c>
      <c r="T91" s="80">
        <f t="shared" si="48"/>
        <v>288</v>
      </c>
      <c r="U91" s="80" t="str">
        <f t="shared" si="49"/>
        <v xml:space="preserve"> 230</v>
      </c>
      <c r="V91" s="80" t="str">
        <f t="shared" si="50"/>
        <v xml:space="preserve"> 007</v>
      </c>
      <c r="W91" s="80" t="str">
        <f t="shared" si="51"/>
        <v xml:space="preserve"> 035</v>
      </c>
    </row>
    <row r="92" spans="1:23" x14ac:dyDescent="0.2">
      <c r="A92" s="75" t="s">
        <v>40</v>
      </c>
      <c r="B92" s="215">
        <v>5</v>
      </c>
      <c r="C92" s="214" t="s">
        <v>177</v>
      </c>
      <c r="D92" s="80">
        <f t="shared" si="35"/>
        <v>173</v>
      </c>
      <c r="E92" s="80">
        <f t="shared" si="36"/>
        <v>52.03</v>
      </c>
      <c r="F92" s="217">
        <v>120.97</v>
      </c>
      <c r="G92" s="80">
        <f t="shared" si="37"/>
        <v>6</v>
      </c>
      <c r="H92" s="80">
        <f t="shared" si="38"/>
        <v>72</v>
      </c>
      <c r="I92" s="80">
        <f t="shared" si="39"/>
        <v>35</v>
      </c>
      <c r="J92" s="80">
        <f t="shared" si="40"/>
        <v>6.9</v>
      </c>
      <c r="K92" s="80">
        <f t="shared" si="41"/>
        <v>82.800000000000011</v>
      </c>
      <c r="L92" s="80">
        <f t="shared" si="42"/>
        <v>0.90000000000000036</v>
      </c>
      <c r="M92" s="80">
        <f t="shared" si="43"/>
        <v>10.800000000000004</v>
      </c>
      <c r="N92" s="224">
        <f t="shared" si="44"/>
        <v>38.925000000000004</v>
      </c>
      <c r="O92" s="296" t="str">
        <f t="shared" si="45"/>
        <v>c:\\3cx\\Yealink\\jpg\\T54W.jpg</v>
      </c>
      <c r="P92" s="296" t="str">
        <f t="shared" si="46"/>
        <v>https://lvoip.lu/3cx/Yealink/pdf/T54W.pdf</v>
      </c>
      <c r="Q92" s="80">
        <f>ROUND(Phones!D92/$Q$1,0)</f>
        <v>16</v>
      </c>
      <c r="R92" s="80">
        <f t="shared" si="47"/>
        <v>192</v>
      </c>
      <c r="S92" s="80">
        <f>ROUND(Phones!D92/$S$1,0)</f>
        <v>9</v>
      </c>
      <c r="T92" s="80">
        <f t="shared" si="48"/>
        <v>216</v>
      </c>
      <c r="U92" s="80" t="str">
        <f t="shared" si="49"/>
        <v xml:space="preserve"> 173</v>
      </c>
      <c r="V92" s="80" t="str">
        <f t="shared" si="50"/>
        <v xml:space="preserve"> 006</v>
      </c>
      <c r="W92" s="80" t="str">
        <f t="shared" si="51"/>
        <v xml:space="preserve"> 035</v>
      </c>
    </row>
    <row r="93" spans="1:23" x14ac:dyDescent="0.2">
      <c r="A93" s="75" t="s">
        <v>40</v>
      </c>
      <c r="B93" s="215">
        <v>6</v>
      </c>
      <c r="C93" s="213" t="s">
        <v>295</v>
      </c>
      <c r="D93" s="80">
        <f t="shared" si="35"/>
        <v>168</v>
      </c>
      <c r="E93" s="80">
        <f t="shared" si="36"/>
        <v>50.459999999999994</v>
      </c>
      <c r="F93" s="343">
        <v>117.54</v>
      </c>
      <c r="G93" s="80">
        <f t="shared" si="37"/>
        <v>6</v>
      </c>
      <c r="H93" s="80">
        <f t="shared" si="38"/>
        <v>72</v>
      </c>
      <c r="I93" s="80">
        <f t="shared" si="39"/>
        <v>35</v>
      </c>
      <c r="J93" s="80">
        <f t="shared" si="40"/>
        <v>6.9</v>
      </c>
      <c r="K93" s="80">
        <f t="shared" si="41"/>
        <v>82.800000000000011</v>
      </c>
      <c r="L93" s="80">
        <f t="shared" si="42"/>
        <v>0.90000000000000036</v>
      </c>
      <c r="M93" s="80">
        <f t="shared" si="43"/>
        <v>10.800000000000004</v>
      </c>
      <c r="N93" s="224">
        <f t="shared" si="44"/>
        <v>37.800000000000004</v>
      </c>
      <c r="O93" s="296" t="str">
        <f t="shared" si="45"/>
        <v>c:\\3cx\\Yealink\\jpg\\W41P.jpg</v>
      </c>
      <c r="P93" s="296" t="str">
        <f t="shared" si="46"/>
        <v>https://lvoip.lu/3cx/Yealink/pdf/W41P.pdf</v>
      </c>
      <c r="Q93" s="80">
        <f>ROUND(Phones!D93/$Q$1,0)</f>
        <v>16</v>
      </c>
      <c r="R93" s="80">
        <f t="shared" si="47"/>
        <v>192</v>
      </c>
      <c r="S93" s="80">
        <f>ROUND(Phones!D93/$S$1,0)</f>
        <v>9</v>
      </c>
      <c r="T93" s="80">
        <f t="shared" si="48"/>
        <v>216</v>
      </c>
      <c r="U93" s="80" t="str">
        <f t="shared" si="49"/>
        <v xml:space="preserve"> 168</v>
      </c>
      <c r="V93" s="80" t="str">
        <f t="shared" si="50"/>
        <v xml:space="preserve"> 006</v>
      </c>
      <c r="W93" s="80" t="str">
        <f t="shared" si="51"/>
        <v xml:space="preserve"> 035</v>
      </c>
    </row>
    <row r="94" spans="1:23" x14ac:dyDescent="0.2">
      <c r="A94" s="75" t="s">
        <v>40</v>
      </c>
      <c r="B94" s="215">
        <v>7</v>
      </c>
      <c r="C94" s="214" t="s">
        <v>174</v>
      </c>
      <c r="D94" s="80">
        <f t="shared" si="35"/>
        <v>163</v>
      </c>
      <c r="E94" s="80">
        <f t="shared" si="36"/>
        <v>48.56</v>
      </c>
      <c r="F94" s="217">
        <v>114.44</v>
      </c>
      <c r="G94" s="80">
        <f t="shared" si="37"/>
        <v>6</v>
      </c>
      <c r="H94" s="80">
        <f t="shared" si="38"/>
        <v>72</v>
      </c>
      <c r="I94" s="80">
        <f t="shared" si="39"/>
        <v>35</v>
      </c>
      <c r="J94" s="80">
        <f t="shared" si="40"/>
        <v>6.9</v>
      </c>
      <c r="K94" s="80">
        <f t="shared" si="41"/>
        <v>82.800000000000011</v>
      </c>
      <c r="L94" s="80">
        <f t="shared" si="42"/>
        <v>0.90000000000000036</v>
      </c>
      <c r="M94" s="80">
        <f t="shared" si="43"/>
        <v>10.800000000000004</v>
      </c>
      <c r="N94" s="224">
        <f t="shared" si="44"/>
        <v>36.675000000000004</v>
      </c>
      <c r="O94" s="296" t="str">
        <f t="shared" si="45"/>
        <v>c:\\3cx\\Yealink\\jpg\\T46S.jpg</v>
      </c>
      <c r="P94" s="296" t="str">
        <f t="shared" si="46"/>
        <v>https://lvoip.lu/3cx/Yealink/pdf/T46S.pdf</v>
      </c>
      <c r="Q94" s="80">
        <f>ROUND(Phones!D94/$Q$1,0)</f>
        <v>15</v>
      </c>
      <c r="R94" s="80">
        <f t="shared" si="47"/>
        <v>180</v>
      </c>
      <c r="S94" s="80">
        <f>ROUND(Phones!D94/$S$1,0)</f>
        <v>8</v>
      </c>
      <c r="T94" s="80">
        <f t="shared" si="48"/>
        <v>192</v>
      </c>
      <c r="U94" s="80" t="str">
        <f t="shared" si="49"/>
        <v xml:space="preserve"> 163</v>
      </c>
      <c r="V94" s="80" t="str">
        <f t="shared" si="50"/>
        <v xml:space="preserve"> 006</v>
      </c>
      <c r="W94" s="80" t="str">
        <f t="shared" si="51"/>
        <v xml:space="preserve"> 035</v>
      </c>
    </row>
    <row r="95" spans="1:23" x14ac:dyDescent="0.2">
      <c r="A95" s="75" t="s">
        <v>40</v>
      </c>
      <c r="B95" s="215">
        <v>8</v>
      </c>
      <c r="C95" s="214" t="s">
        <v>293</v>
      </c>
      <c r="D95" s="80">
        <f t="shared" si="35"/>
        <v>139</v>
      </c>
      <c r="E95" s="80">
        <f t="shared" si="36"/>
        <v>41.64</v>
      </c>
      <c r="F95" s="343">
        <v>97.36</v>
      </c>
      <c r="G95" s="80">
        <f t="shared" si="37"/>
        <v>5</v>
      </c>
      <c r="H95" s="80">
        <f t="shared" si="38"/>
        <v>60</v>
      </c>
      <c r="I95" s="80">
        <f t="shared" si="39"/>
        <v>35</v>
      </c>
      <c r="J95" s="80">
        <f t="shared" si="40"/>
        <v>5.75</v>
      </c>
      <c r="K95" s="80">
        <f t="shared" si="41"/>
        <v>69</v>
      </c>
      <c r="L95" s="80">
        <f t="shared" si="42"/>
        <v>0.75</v>
      </c>
      <c r="M95" s="80">
        <f t="shared" si="43"/>
        <v>9</v>
      </c>
      <c r="N95" s="224">
        <f t="shared" si="44"/>
        <v>31.275000000000002</v>
      </c>
      <c r="O95" s="296" t="str">
        <f t="shared" si="45"/>
        <v>c:\\3cx\\Yealink\\jpg\\T53W.jpg</v>
      </c>
      <c r="P95" s="296" t="str">
        <f t="shared" si="46"/>
        <v>https://lvoip.lu/3cx/Yealink/pdf/T53W.pdf</v>
      </c>
      <c r="Q95" s="80">
        <f>ROUND(Phones!D95/$Q$1,0)</f>
        <v>13</v>
      </c>
      <c r="R95" s="80">
        <f t="shared" si="47"/>
        <v>156</v>
      </c>
      <c r="S95" s="80">
        <f>ROUND(Phones!D95/$S$1,0)</f>
        <v>7</v>
      </c>
      <c r="T95" s="80">
        <f t="shared" si="48"/>
        <v>168</v>
      </c>
      <c r="U95" s="80" t="str">
        <f t="shared" si="49"/>
        <v xml:space="preserve"> 139</v>
      </c>
      <c r="V95" s="80" t="str">
        <f t="shared" si="50"/>
        <v xml:space="preserve"> 005</v>
      </c>
      <c r="W95" s="80" t="str">
        <f t="shared" si="51"/>
        <v xml:space="preserve"> 035</v>
      </c>
    </row>
    <row r="96" spans="1:23" x14ac:dyDescent="0.2">
      <c r="A96" s="75" t="s">
        <v>40</v>
      </c>
      <c r="B96" s="215">
        <v>9</v>
      </c>
      <c r="C96" s="213" t="s">
        <v>170</v>
      </c>
      <c r="D96" s="80">
        <f t="shared" si="35"/>
        <v>128</v>
      </c>
      <c r="E96" s="80">
        <f t="shared" si="36"/>
        <v>38.31</v>
      </c>
      <c r="F96" s="217">
        <v>89.69</v>
      </c>
      <c r="G96" s="80">
        <f t="shared" si="37"/>
        <v>5</v>
      </c>
      <c r="H96" s="80">
        <f t="shared" si="38"/>
        <v>60</v>
      </c>
      <c r="I96" s="80">
        <f t="shared" si="39"/>
        <v>35</v>
      </c>
      <c r="J96" s="80">
        <f t="shared" si="40"/>
        <v>5.75</v>
      </c>
      <c r="K96" s="80">
        <f t="shared" si="41"/>
        <v>69</v>
      </c>
      <c r="L96" s="80">
        <f t="shared" si="42"/>
        <v>0.75</v>
      </c>
      <c r="M96" s="80">
        <f t="shared" si="43"/>
        <v>9</v>
      </c>
      <c r="N96" s="224">
        <f t="shared" si="44"/>
        <v>28.8</v>
      </c>
      <c r="O96" s="296" t="str">
        <f t="shared" si="45"/>
        <v>c:\\3cx\\Yealink\\jpg\\T29G.jpg</v>
      </c>
      <c r="P96" s="296" t="str">
        <f t="shared" si="46"/>
        <v>https://lvoip.lu/3cx/Yealink/pdf/T29G.pdf</v>
      </c>
      <c r="Q96" s="80">
        <f>ROUND(Phones!D96/$Q$1,0)</f>
        <v>12</v>
      </c>
      <c r="R96" s="80">
        <f t="shared" si="47"/>
        <v>144</v>
      </c>
      <c r="S96" s="80">
        <f>ROUND(Phones!D96/$S$1,0)</f>
        <v>7</v>
      </c>
      <c r="T96" s="80">
        <f t="shared" si="48"/>
        <v>168</v>
      </c>
      <c r="U96" s="80" t="str">
        <f t="shared" si="49"/>
        <v xml:space="preserve"> 128</v>
      </c>
      <c r="V96" s="80" t="str">
        <f t="shared" si="50"/>
        <v xml:space="preserve"> 005</v>
      </c>
      <c r="W96" s="80" t="str">
        <f t="shared" si="51"/>
        <v xml:space="preserve"> 035</v>
      </c>
    </row>
    <row r="97" spans="1:23" x14ac:dyDescent="0.2">
      <c r="A97" s="75" t="s">
        <v>40</v>
      </c>
      <c r="B97" s="215">
        <v>10</v>
      </c>
      <c r="C97" s="75" t="s">
        <v>86</v>
      </c>
      <c r="D97" s="80">
        <f t="shared" si="35"/>
        <v>128</v>
      </c>
      <c r="E97" s="80">
        <f t="shared" si="36"/>
        <v>38.3138461538461</v>
      </c>
      <c r="F97" s="217">
        <v>89.6861538461539</v>
      </c>
      <c r="G97" s="80">
        <f t="shared" si="37"/>
        <v>5</v>
      </c>
      <c r="H97" s="80">
        <f t="shared" si="38"/>
        <v>60</v>
      </c>
      <c r="I97" s="80">
        <f t="shared" si="39"/>
        <v>35</v>
      </c>
      <c r="J97" s="80">
        <f t="shared" si="40"/>
        <v>5.75</v>
      </c>
      <c r="K97" s="80">
        <f t="shared" si="41"/>
        <v>69</v>
      </c>
      <c r="L97" s="80">
        <f t="shared" si="42"/>
        <v>0.75</v>
      </c>
      <c r="M97" s="80">
        <f t="shared" si="43"/>
        <v>9</v>
      </c>
      <c r="N97" s="224">
        <f t="shared" si="44"/>
        <v>28.8</v>
      </c>
      <c r="O97" s="296" t="str">
        <f t="shared" si="45"/>
        <v>c:\\3cx\\Yealink\\jpg\\RT30.jpg</v>
      </c>
      <c r="P97" s="296" t="str">
        <f t="shared" si="46"/>
        <v>https://lvoip.lu/3cx/Yealink/pdf/RT30.pdf</v>
      </c>
      <c r="Q97" s="80">
        <f>ROUND(Phones!D97/$Q$1,0)</f>
        <v>12</v>
      </c>
      <c r="R97" s="80">
        <f t="shared" si="47"/>
        <v>144</v>
      </c>
      <c r="S97" s="80">
        <f>ROUND(Phones!D97/$S$1,0)</f>
        <v>7</v>
      </c>
      <c r="T97" s="80">
        <f t="shared" si="48"/>
        <v>168</v>
      </c>
      <c r="U97" s="80" t="str">
        <f t="shared" si="49"/>
        <v xml:space="preserve"> 128</v>
      </c>
      <c r="V97" s="80" t="str">
        <f t="shared" si="50"/>
        <v xml:space="preserve"> 005</v>
      </c>
      <c r="W97" s="80" t="str">
        <f t="shared" si="51"/>
        <v xml:space="preserve"> 035</v>
      </c>
    </row>
    <row r="98" spans="1:23" x14ac:dyDescent="0.2">
      <c r="A98" s="75" t="s">
        <v>40</v>
      </c>
      <c r="B98" s="215">
        <v>11</v>
      </c>
      <c r="C98" s="75" t="s">
        <v>84</v>
      </c>
      <c r="D98" s="80">
        <f t="shared" si="35"/>
        <v>115</v>
      </c>
      <c r="E98" s="80">
        <f t="shared" si="36"/>
        <v>34.58017094017093</v>
      </c>
      <c r="F98" s="217">
        <v>80.41982905982907</v>
      </c>
      <c r="G98" s="80">
        <f t="shared" si="37"/>
        <v>5</v>
      </c>
      <c r="H98" s="80">
        <f t="shared" si="38"/>
        <v>60</v>
      </c>
      <c r="I98" s="80">
        <f t="shared" si="39"/>
        <v>35</v>
      </c>
      <c r="J98" s="80">
        <f t="shared" si="40"/>
        <v>5.75</v>
      </c>
      <c r="K98" s="80">
        <f t="shared" si="41"/>
        <v>69</v>
      </c>
      <c r="L98" s="80">
        <f t="shared" si="42"/>
        <v>0.75</v>
      </c>
      <c r="M98" s="80">
        <f t="shared" si="43"/>
        <v>9</v>
      </c>
      <c r="N98" s="224">
        <f t="shared" si="44"/>
        <v>25.875</v>
      </c>
      <c r="O98" s="296" t="str">
        <f t="shared" si="45"/>
        <v>c:\\3cx\\Yealink\\jpg\\W60P.jpg</v>
      </c>
      <c r="P98" s="296" t="str">
        <f t="shared" si="46"/>
        <v>https://lvoip.lu/3cx/Yealink/pdf/W60P.pdf</v>
      </c>
      <c r="Q98" s="80">
        <f>ROUND(Phones!D98/$Q$1,0)</f>
        <v>11</v>
      </c>
      <c r="R98" s="80">
        <f t="shared" si="47"/>
        <v>132</v>
      </c>
      <c r="S98" s="80">
        <f>ROUND(Phones!D98/$S$1,0)</f>
        <v>6</v>
      </c>
      <c r="T98" s="80">
        <f t="shared" si="48"/>
        <v>144</v>
      </c>
      <c r="U98" s="80" t="str">
        <f t="shared" si="49"/>
        <v xml:space="preserve"> 115</v>
      </c>
      <c r="V98" s="80" t="str">
        <f t="shared" si="50"/>
        <v xml:space="preserve"> 005</v>
      </c>
      <c r="W98" s="80" t="str">
        <f t="shared" si="51"/>
        <v xml:space="preserve"> 035</v>
      </c>
    </row>
    <row r="99" spans="1:23" x14ac:dyDescent="0.2">
      <c r="A99" s="75" t="s">
        <v>40</v>
      </c>
      <c r="B99" s="215">
        <v>12</v>
      </c>
      <c r="C99" s="214" t="s">
        <v>176</v>
      </c>
      <c r="D99" s="80">
        <f t="shared" si="35"/>
        <v>110</v>
      </c>
      <c r="E99" s="80">
        <f t="shared" si="36"/>
        <v>33.299999999999997</v>
      </c>
      <c r="F99" s="217">
        <v>76.7</v>
      </c>
      <c r="G99" s="80">
        <f t="shared" si="37"/>
        <v>5</v>
      </c>
      <c r="H99" s="80">
        <f t="shared" si="38"/>
        <v>60</v>
      </c>
      <c r="I99" s="80">
        <f t="shared" si="39"/>
        <v>25</v>
      </c>
      <c r="J99" s="80">
        <f t="shared" si="40"/>
        <v>5.75</v>
      </c>
      <c r="K99" s="80">
        <f t="shared" si="41"/>
        <v>69</v>
      </c>
      <c r="L99" s="80">
        <f t="shared" si="42"/>
        <v>0.75</v>
      </c>
      <c r="M99" s="80">
        <f t="shared" si="43"/>
        <v>9</v>
      </c>
      <c r="N99" s="224">
        <f t="shared" si="44"/>
        <v>24.75</v>
      </c>
      <c r="O99" s="296" t="str">
        <f t="shared" si="45"/>
        <v>c:\\3cx\\Yealink\\jpg\\T53.jpg</v>
      </c>
      <c r="P99" s="296" t="str">
        <f t="shared" si="46"/>
        <v>https://lvoip.lu/3cx/Yealink/pdf/T53.pdf</v>
      </c>
      <c r="Q99" s="80">
        <f>ROUND(Phones!D99/$Q$1,0)</f>
        <v>10</v>
      </c>
      <c r="R99" s="80">
        <f t="shared" si="47"/>
        <v>120</v>
      </c>
      <c r="S99" s="80">
        <f>ROUND(Phones!D99/$S$1,0)</f>
        <v>6</v>
      </c>
      <c r="T99" s="80">
        <f t="shared" si="48"/>
        <v>144</v>
      </c>
      <c r="U99" s="80" t="str">
        <f t="shared" si="49"/>
        <v xml:space="preserve"> 110</v>
      </c>
      <c r="V99" s="80" t="str">
        <f t="shared" si="50"/>
        <v xml:space="preserve"> 005</v>
      </c>
      <c r="W99" s="80" t="str">
        <f t="shared" si="51"/>
        <v xml:space="preserve"> 025</v>
      </c>
    </row>
    <row r="100" spans="1:23" x14ac:dyDescent="0.2">
      <c r="A100" s="75" t="s">
        <v>40</v>
      </c>
      <c r="B100" s="215">
        <v>13</v>
      </c>
      <c r="C100" s="213" t="s">
        <v>173</v>
      </c>
      <c r="D100" s="80">
        <f t="shared" si="35"/>
        <v>106</v>
      </c>
      <c r="E100" s="80">
        <f t="shared" si="36"/>
        <v>31.773675213675205</v>
      </c>
      <c r="F100" s="217">
        <v>74.226324786324795</v>
      </c>
      <c r="G100" s="80">
        <f t="shared" si="37"/>
        <v>5</v>
      </c>
      <c r="H100" s="80">
        <f t="shared" si="38"/>
        <v>60</v>
      </c>
      <c r="I100" s="80">
        <f t="shared" si="39"/>
        <v>25</v>
      </c>
      <c r="J100" s="80">
        <f t="shared" si="40"/>
        <v>5.75</v>
      </c>
      <c r="K100" s="80">
        <f t="shared" si="41"/>
        <v>69</v>
      </c>
      <c r="L100" s="80">
        <f t="shared" si="42"/>
        <v>0.75</v>
      </c>
      <c r="M100" s="80">
        <f t="shared" si="43"/>
        <v>9</v>
      </c>
      <c r="N100" s="224">
        <f t="shared" si="44"/>
        <v>23.85</v>
      </c>
      <c r="O100" s="296" t="str">
        <f t="shared" si="45"/>
        <v>c:\\3cx\\Yealink\\jpg\\T42S.jpg</v>
      </c>
      <c r="P100" s="296" t="str">
        <f t="shared" si="46"/>
        <v>https://lvoip.lu/3cx/Yealink/pdf/T42S.pdf</v>
      </c>
      <c r="Q100" s="80">
        <f>ROUND(Phones!D100/$Q$1,0)</f>
        <v>10</v>
      </c>
      <c r="R100" s="80">
        <f t="shared" si="47"/>
        <v>120</v>
      </c>
      <c r="S100" s="80">
        <f>ROUND(Phones!D100/$S$1,0)</f>
        <v>5</v>
      </c>
      <c r="T100" s="80">
        <f t="shared" si="48"/>
        <v>120</v>
      </c>
      <c r="U100" s="80" t="str">
        <f t="shared" si="49"/>
        <v xml:space="preserve"> 106</v>
      </c>
      <c r="V100" s="80" t="str">
        <f t="shared" si="50"/>
        <v xml:space="preserve"> 005</v>
      </c>
      <c r="W100" s="80" t="str">
        <f t="shared" si="51"/>
        <v xml:space="preserve"> 025</v>
      </c>
    </row>
    <row r="101" spans="1:23" x14ac:dyDescent="0.2">
      <c r="A101" s="75" t="s">
        <v>40</v>
      </c>
      <c r="B101" s="215">
        <v>14</v>
      </c>
      <c r="C101" s="75" t="s">
        <v>82</v>
      </c>
      <c r="D101" s="80">
        <f t="shared" si="35"/>
        <v>106</v>
      </c>
      <c r="E101" s="80">
        <f t="shared" si="36"/>
        <v>31.77367521367519</v>
      </c>
      <c r="F101" s="217">
        <v>74.22632478632481</v>
      </c>
      <c r="G101" s="80">
        <f t="shared" si="37"/>
        <v>5</v>
      </c>
      <c r="H101" s="80">
        <f t="shared" si="38"/>
        <v>60</v>
      </c>
      <c r="I101" s="80">
        <f t="shared" si="39"/>
        <v>25</v>
      </c>
      <c r="J101" s="80">
        <f t="shared" si="40"/>
        <v>5.75</v>
      </c>
      <c r="K101" s="80">
        <f t="shared" si="41"/>
        <v>69</v>
      </c>
      <c r="L101" s="80">
        <f t="shared" si="42"/>
        <v>0.75</v>
      </c>
      <c r="M101" s="80">
        <f t="shared" si="43"/>
        <v>9</v>
      </c>
      <c r="N101" s="224">
        <f t="shared" si="44"/>
        <v>23.85</v>
      </c>
      <c r="O101" s="296" t="str">
        <f t="shared" si="45"/>
        <v>c:\\3cx\\Yealink\\jpg\\W53P.jpg</v>
      </c>
      <c r="P101" s="296" t="str">
        <f t="shared" si="46"/>
        <v>https://lvoip.lu/3cx/Yealink/pdf/W53P.pdf</v>
      </c>
      <c r="Q101" s="80">
        <f>ROUND(Phones!D101/$Q$1,0)</f>
        <v>10</v>
      </c>
      <c r="R101" s="80">
        <f t="shared" si="47"/>
        <v>120</v>
      </c>
      <c r="S101" s="80">
        <f>ROUND(Phones!D101/$S$1,0)</f>
        <v>5</v>
      </c>
      <c r="T101" s="80">
        <f t="shared" si="48"/>
        <v>120</v>
      </c>
      <c r="U101" s="80" t="str">
        <f t="shared" si="49"/>
        <v xml:space="preserve"> 106</v>
      </c>
      <c r="V101" s="80" t="str">
        <f t="shared" si="50"/>
        <v xml:space="preserve"> 005</v>
      </c>
      <c r="W101" s="80" t="str">
        <f t="shared" si="51"/>
        <v xml:space="preserve"> 025</v>
      </c>
    </row>
    <row r="102" spans="1:23" x14ac:dyDescent="0.2">
      <c r="A102" s="75" t="s">
        <v>40</v>
      </c>
      <c r="B102" s="215">
        <v>15</v>
      </c>
      <c r="C102" s="75" t="s">
        <v>81</v>
      </c>
      <c r="D102" s="80">
        <f t="shared" si="35"/>
        <v>102</v>
      </c>
      <c r="E102" s="80">
        <f t="shared" si="36"/>
        <v>30.865641025641011</v>
      </c>
      <c r="F102" s="217">
        <v>71.134358974358989</v>
      </c>
      <c r="G102" s="80">
        <f t="shared" si="37"/>
        <v>5</v>
      </c>
      <c r="H102" s="80">
        <f t="shared" si="38"/>
        <v>60</v>
      </c>
      <c r="I102" s="80">
        <f t="shared" si="39"/>
        <v>25</v>
      </c>
      <c r="J102" s="80">
        <f t="shared" si="40"/>
        <v>5.75</v>
      </c>
      <c r="K102" s="80">
        <f t="shared" si="41"/>
        <v>69</v>
      </c>
      <c r="L102" s="80">
        <f t="shared" si="42"/>
        <v>0.75</v>
      </c>
      <c r="M102" s="80">
        <f t="shared" si="43"/>
        <v>9</v>
      </c>
      <c r="N102" s="224">
        <f t="shared" si="44"/>
        <v>22.95</v>
      </c>
      <c r="O102" s="296" t="str">
        <f t="shared" si="45"/>
        <v>c:\\3cx\\Yealink\\jpg\\EXP50.jpg</v>
      </c>
      <c r="P102" s="296" t="str">
        <f t="shared" si="46"/>
        <v>https://lvoip.lu/3cx/Yealink/pdf/EXP50.pdf</v>
      </c>
      <c r="Q102" s="80">
        <f>ROUND(Phones!D102/$Q$1,0)</f>
        <v>10</v>
      </c>
      <c r="R102" s="80">
        <f t="shared" si="47"/>
        <v>120</v>
      </c>
      <c r="S102" s="80">
        <f>ROUND(Phones!D102/$S$1,0)</f>
        <v>5</v>
      </c>
      <c r="T102" s="80">
        <f t="shared" si="48"/>
        <v>120</v>
      </c>
      <c r="U102" s="80" t="str">
        <f t="shared" si="49"/>
        <v xml:space="preserve"> 102</v>
      </c>
      <c r="V102" s="80" t="str">
        <f t="shared" si="50"/>
        <v xml:space="preserve"> 005</v>
      </c>
      <c r="W102" s="80" t="str">
        <f t="shared" si="51"/>
        <v xml:space="preserve"> 025</v>
      </c>
    </row>
    <row r="103" spans="1:23" x14ac:dyDescent="0.2">
      <c r="A103" s="75" t="s">
        <v>40</v>
      </c>
      <c r="B103" s="215">
        <v>16</v>
      </c>
      <c r="C103" s="213" t="s">
        <v>169</v>
      </c>
      <c r="D103" s="80">
        <f t="shared" si="35"/>
        <v>97</v>
      </c>
      <c r="E103" s="80">
        <f t="shared" si="36"/>
        <v>28.959999999999994</v>
      </c>
      <c r="F103" s="217">
        <v>68.040000000000006</v>
      </c>
      <c r="G103" s="80">
        <f t="shared" si="37"/>
        <v>4</v>
      </c>
      <c r="H103" s="80">
        <f t="shared" si="38"/>
        <v>48</v>
      </c>
      <c r="I103" s="80">
        <f t="shared" si="39"/>
        <v>25</v>
      </c>
      <c r="J103" s="80">
        <f t="shared" si="40"/>
        <v>4.5999999999999996</v>
      </c>
      <c r="K103" s="80">
        <f t="shared" si="41"/>
        <v>55.199999999999996</v>
      </c>
      <c r="L103" s="80">
        <f t="shared" si="42"/>
        <v>0.59999999999999964</v>
      </c>
      <c r="M103" s="80">
        <f t="shared" si="43"/>
        <v>7.1999999999999957</v>
      </c>
      <c r="N103" s="224">
        <f t="shared" si="44"/>
        <v>21.824999999999999</v>
      </c>
      <c r="O103" s="296" t="str">
        <f t="shared" si="45"/>
        <v>c:\\3cx\\Yealink\\jpg\\T27G.jpg</v>
      </c>
      <c r="P103" s="296" t="str">
        <f t="shared" si="46"/>
        <v>https://lvoip.lu/3cx/Yealink/pdf/T27G.pdf</v>
      </c>
      <c r="Q103" s="80">
        <f>ROUND(Phones!D103/$Q$1,0)</f>
        <v>9</v>
      </c>
      <c r="R103" s="80">
        <f t="shared" si="47"/>
        <v>108</v>
      </c>
      <c r="S103" s="80">
        <f>ROUND(Phones!D103/$S$1,0)</f>
        <v>5</v>
      </c>
      <c r="T103" s="80">
        <f t="shared" si="48"/>
        <v>120</v>
      </c>
      <c r="U103" s="80" t="str">
        <f t="shared" si="49"/>
        <v xml:space="preserve"> 097</v>
      </c>
      <c r="V103" s="80" t="str">
        <f t="shared" si="50"/>
        <v xml:space="preserve"> 004</v>
      </c>
      <c r="W103" s="80" t="str">
        <f t="shared" si="51"/>
        <v xml:space="preserve"> 025</v>
      </c>
    </row>
    <row r="104" spans="1:23" x14ac:dyDescent="0.2">
      <c r="A104" s="75" t="s">
        <v>40</v>
      </c>
      <c r="B104" s="215">
        <v>17</v>
      </c>
      <c r="C104" s="75" t="s">
        <v>80</v>
      </c>
      <c r="D104" s="80">
        <f t="shared" si="35"/>
        <v>93</v>
      </c>
      <c r="E104" s="80">
        <f t="shared" si="36"/>
        <v>28.059145299145285</v>
      </c>
      <c r="F104" s="217">
        <v>64.940854700854715</v>
      </c>
      <c r="G104" s="80">
        <f t="shared" si="37"/>
        <v>4</v>
      </c>
      <c r="H104" s="80">
        <f t="shared" si="38"/>
        <v>48</v>
      </c>
      <c r="I104" s="80">
        <f t="shared" si="39"/>
        <v>25</v>
      </c>
      <c r="J104" s="80">
        <f t="shared" si="40"/>
        <v>4.5999999999999996</v>
      </c>
      <c r="K104" s="80">
        <f t="shared" si="41"/>
        <v>55.199999999999996</v>
      </c>
      <c r="L104" s="80">
        <f t="shared" si="42"/>
        <v>0.59999999999999964</v>
      </c>
      <c r="M104" s="80">
        <f t="shared" si="43"/>
        <v>7.1999999999999957</v>
      </c>
      <c r="N104" s="224">
        <f t="shared" si="44"/>
        <v>20.925000000000001</v>
      </c>
      <c r="O104" s="296" t="str">
        <f t="shared" si="45"/>
        <v>c:\\3cx\\Yealink\\jpg\\EXP40.jpg</v>
      </c>
      <c r="P104" s="296" t="str">
        <f t="shared" si="46"/>
        <v>https://lvoip.lu/3cx/Yealink/pdf/EXP40.pdf</v>
      </c>
      <c r="Q104" s="80">
        <f>ROUND(Phones!D104/$Q$1,0)</f>
        <v>9</v>
      </c>
      <c r="R104" s="80">
        <f t="shared" si="47"/>
        <v>108</v>
      </c>
      <c r="S104" s="80">
        <f>ROUND(Phones!D104/$S$1,0)</f>
        <v>5</v>
      </c>
      <c r="T104" s="80">
        <f t="shared" si="48"/>
        <v>120</v>
      </c>
      <c r="U104" s="80" t="str">
        <f t="shared" si="49"/>
        <v xml:space="preserve"> 093</v>
      </c>
      <c r="V104" s="80" t="str">
        <f t="shared" si="50"/>
        <v xml:space="preserve"> 004</v>
      </c>
      <c r="W104" s="80" t="str">
        <f t="shared" si="51"/>
        <v xml:space="preserve"> 025</v>
      </c>
    </row>
    <row r="105" spans="1:23" x14ac:dyDescent="0.2">
      <c r="A105" s="75" t="s">
        <v>40</v>
      </c>
      <c r="B105" s="215">
        <v>18</v>
      </c>
      <c r="C105" s="213" t="s">
        <v>172</v>
      </c>
      <c r="D105" s="80">
        <f t="shared" si="35"/>
        <v>88</v>
      </c>
      <c r="E105" s="80">
        <f t="shared" si="36"/>
        <v>26.151111111111099</v>
      </c>
      <c r="F105" s="217">
        <v>61.848888888888901</v>
      </c>
      <c r="G105" s="80">
        <f t="shared" si="37"/>
        <v>4</v>
      </c>
      <c r="H105" s="80">
        <f t="shared" si="38"/>
        <v>48</v>
      </c>
      <c r="I105" s="80">
        <f t="shared" si="39"/>
        <v>25</v>
      </c>
      <c r="J105" s="80">
        <f t="shared" si="40"/>
        <v>4.5999999999999996</v>
      </c>
      <c r="K105" s="80">
        <f t="shared" si="41"/>
        <v>55.199999999999996</v>
      </c>
      <c r="L105" s="80">
        <f t="shared" si="42"/>
        <v>0.59999999999999964</v>
      </c>
      <c r="M105" s="80">
        <f t="shared" si="43"/>
        <v>7.1999999999999957</v>
      </c>
      <c r="N105" s="224">
        <f t="shared" si="44"/>
        <v>19.8</v>
      </c>
      <c r="O105" s="296" t="str">
        <f t="shared" si="45"/>
        <v>c:\\3cx\\Yealink\\jpg\\T41S.jpg</v>
      </c>
      <c r="P105" s="296" t="str">
        <f t="shared" si="46"/>
        <v>https://lvoip.lu/3cx/Yealink/pdf/T41S.pdf</v>
      </c>
      <c r="Q105" s="80">
        <f>ROUND(Phones!D105/$Q$1,0)</f>
        <v>8</v>
      </c>
      <c r="R105" s="80">
        <f t="shared" si="47"/>
        <v>96</v>
      </c>
      <c r="S105" s="80">
        <f>ROUND(Phones!D105/$S$1,0)</f>
        <v>5</v>
      </c>
      <c r="T105" s="80">
        <f t="shared" si="48"/>
        <v>120</v>
      </c>
      <c r="U105" s="80" t="str">
        <f t="shared" si="49"/>
        <v xml:space="preserve"> 088</v>
      </c>
      <c r="V105" s="80" t="str">
        <f t="shared" si="50"/>
        <v xml:space="preserve"> 004</v>
      </c>
      <c r="W105" s="80" t="str">
        <f t="shared" si="51"/>
        <v xml:space="preserve"> 025</v>
      </c>
    </row>
    <row r="106" spans="1:23" x14ac:dyDescent="0.2">
      <c r="A106" s="75" t="s">
        <v>40</v>
      </c>
      <c r="B106" s="215">
        <v>19</v>
      </c>
      <c r="C106" s="75" t="s">
        <v>79</v>
      </c>
      <c r="D106" s="80">
        <f t="shared" si="35"/>
        <v>88</v>
      </c>
      <c r="E106" s="80">
        <f t="shared" si="36"/>
        <v>26.151111111111099</v>
      </c>
      <c r="F106" s="217">
        <v>61.848888888888901</v>
      </c>
      <c r="G106" s="80">
        <f t="shared" ref="G106:G125" si="52">VLOOKUP(D106,PrixMaint,2,TRUE)</f>
        <v>4</v>
      </c>
      <c r="H106" s="80">
        <f t="shared" si="38"/>
        <v>48</v>
      </c>
      <c r="I106" s="80">
        <f t="shared" si="39"/>
        <v>25</v>
      </c>
      <c r="J106" s="80">
        <f t="shared" si="40"/>
        <v>4.5999999999999996</v>
      </c>
      <c r="K106" s="80">
        <f t="shared" si="41"/>
        <v>55.199999999999996</v>
      </c>
      <c r="L106" s="80">
        <f t="shared" si="42"/>
        <v>0.59999999999999964</v>
      </c>
      <c r="M106" s="80">
        <f t="shared" si="43"/>
        <v>7.1999999999999957</v>
      </c>
      <c r="N106" s="224">
        <f t="shared" si="44"/>
        <v>19.8</v>
      </c>
      <c r="O106" s="296" t="str">
        <f t="shared" si="45"/>
        <v>c:\\3cx\\Yealink\\jpg\\EXP20.jpg</v>
      </c>
      <c r="P106" s="296" t="str">
        <f t="shared" si="46"/>
        <v>https://lvoip.lu/3cx/Yealink/pdf/EXP20.pdf</v>
      </c>
      <c r="Q106" s="80">
        <f>ROUND(Phones!D106/$Q$1,0)</f>
        <v>8</v>
      </c>
      <c r="R106" s="80">
        <f t="shared" si="47"/>
        <v>96</v>
      </c>
      <c r="S106" s="80">
        <f>ROUND(Phones!D106/$S$1,0)</f>
        <v>5</v>
      </c>
      <c r="T106" s="80">
        <f t="shared" si="48"/>
        <v>120</v>
      </c>
      <c r="U106" s="80" t="str">
        <f t="shared" si="49"/>
        <v xml:space="preserve"> 088</v>
      </c>
      <c r="V106" s="80" t="str">
        <f t="shared" si="50"/>
        <v xml:space="preserve"> 004</v>
      </c>
      <c r="W106" s="80" t="str">
        <f t="shared" si="51"/>
        <v xml:space="preserve"> 025</v>
      </c>
    </row>
    <row r="107" spans="1:23" x14ac:dyDescent="0.2">
      <c r="A107" s="75" t="s">
        <v>40</v>
      </c>
      <c r="B107" s="215">
        <v>20</v>
      </c>
      <c r="C107" s="75" t="s">
        <v>85</v>
      </c>
      <c r="D107" s="80">
        <f t="shared" si="35"/>
        <v>84</v>
      </c>
      <c r="E107" s="80">
        <f t="shared" si="36"/>
        <v>25.243076923076913</v>
      </c>
      <c r="F107" s="217">
        <v>58.756923076923087</v>
      </c>
      <c r="G107" s="80">
        <f t="shared" si="52"/>
        <v>4</v>
      </c>
      <c r="H107" s="80">
        <f t="shared" si="38"/>
        <v>48</v>
      </c>
      <c r="I107" s="80">
        <f t="shared" si="39"/>
        <v>25</v>
      </c>
      <c r="J107" s="80">
        <f t="shared" si="40"/>
        <v>4.5999999999999996</v>
      </c>
      <c r="K107" s="80">
        <f t="shared" si="41"/>
        <v>55.199999999999996</v>
      </c>
      <c r="L107" s="80">
        <f t="shared" si="42"/>
        <v>0.59999999999999964</v>
      </c>
      <c r="M107" s="80">
        <f t="shared" si="43"/>
        <v>7.1999999999999957</v>
      </c>
      <c r="N107" s="224">
        <f t="shared" si="44"/>
        <v>18.900000000000002</v>
      </c>
      <c r="O107" s="296" t="str">
        <f t="shared" si="45"/>
        <v>c:\\3cx\\Yealink\\jpg\\W56H.jpg</v>
      </c>
      <c r="P107" s="296" t="str">
        <f t="shared" si="46"/>
        <v>https://lvoip.lu/3cx/Yealink/pdf/W56H.pdf</v>
      </c>
      <c r="Q107" s="80">
        <f>ROUND(Phones!D107/$Q$1,0)</f>
        <v>8</v>
      </c>
      <c r="R107" s="80">
        <f t="shared" si="47"/>
        <v>96</v>
      </c>
      <c r="S107" s="80">
        <f>ROUND(Phones!D107/$S$1,0)</f>
        <v>4</v>
      </c>
      <c r="T107" s="80">
        <f t="shared" si="48"/>
        <v>96</v>
      </c>
      <c r="U107" s="80" t="str">
        <f t="shared" si="49"/>
        <v xml:space="preserve"> 084</v>
      </c>
      <c r="V107" s="80" t="str">
        <f t="shared" si="50"/>
        <v xml:space="preserve"> 004</v>
      </c>
      <c r="W107" s="80" t="str">
        <f t="shared" si="51"/>
        <v xml:space="preserve"> 025</v>
      </c>
    </row>
    <row r="108" spans="1:23" x14ac:dyDescent="0.2">
      <c r="A108" s="75" t="s">
        <v>40</v>
      </c>
      <c r="B108" s="215">
        <v>21</v>
      </c>
      <c r="C108" s="213" t="s">
        <v>168</v>
      </c>
      <c r="D108" s="80">
        <f t="shared" si="35"/>
        <v>80</v>
      </c>
      <c r="E108" s="80">
        <f t="shared" si="36"/>
        <v>24.335042735042727</v>
      </c>
      <c r="F108" s="217">
        <v>55.664957264957273</v>
      </c>
      <c r="G108" s="80">
        <f t="shared" si="52"/>
        <v>4</v>
      </c>
      <c r="H108" s="80">
        <f t="shared" si="38"/>
        <v>48</v>
      </c>
      <c r="I108" s="80">
        <f t="shared" si="39"/>
        <v>25</v>
      </c>
      <c r="J108" s="80">
        <f t="shared" si="40"/>
        <v>4.5999999999999996</v>
      </c>
      <c r="K108" s="80">
        <f t="shared" si="41"/>
        <v>55.199999999999996</v>
      </c>
      <c r="L108" s="80">
        <f t="shared" si="42"/>
        <v>0.59999999999999964</v>
      </c>
      <c r="M108" s="80">
        <f t="shared" si="43"/>
        <v>7.1999999999999957</v>
      </c>
      <c r="N108" s="224">
        <f t="shared" si="44"/>
        <v>18</v>
      </c>
      <c r="O108" s="296" t="str">
        <f t="shared" si="45"/>
        <v>c:\\3cx\\Yealink\\jpg\\T23G.jpg</v>
      </c>
      <c r="P108" s="296" t="str">
        <f t="shared" si="46"/>
        <v>https://lvoip.lu/3cx/Yealink/pdf/T23G.pdf</v>
      </c>
      <c r="Q108" s="80">
        <f>ROUND(Phones!D108/$Q$1,0)</f>
        <v>8</v>
      </c>
      <c r="R108" s="80">
        <f t="shared" si="47"/>
        <v>96</v>
      </c>
      <c r="S108" s="80">
        <f>ROUND(Phones!D108/$S$1,0)</f>
        <v>4</v>
      </c>
      <c r="T108" s="80">
        <f t="shared" si="48"/>
        <v>96</v>
      </c>
      <c r="U108" s="80" t="str">
        <f t="shared" si="49"/>
        <v xml:space="preserve"> 080</v>
      </c>
      <c r="V108" s="80" t="str">
        <f t="shared" si="50"/>
        <v xml:space="preserve"> 004</v>
      </c>
      <c r="W108" s="80" t="str">
        <f t="shared" si="51"/>
        <v xml:space="preserve"> 025</v>
      </c>
    </row>
    <row r="109" spans="1:23" x14ac:dyDescent="0.2">
      <c r="A109" s="75" t="s">
        <v>40</v>
      </c>
      <c r="B109" s="215">
        <v>22</v>
      </c>
      <c r="C109" s="213" t="s">
        <v>171</v>
      </c>
      <c r="D109" s="80">
        <f t="shared" si="35"/>
        <v>75</v>
      </c>
      <c r="E109" s="80">
        <f t="shared" si="36"/>
        <v>22.436581196581194</v>
      </c>
      <c r="F109" s="217">
        <v>52.563418803418806</v>
      </c>
      <c r="G109" s="80">
        <f t="shared" si="52"/>
        <v>4</v>
      </c>
      <c r="H109" s="80">
        <f t="shared" si="38"/>
        <v>48</v>
      </c>
      <c r="I109" s="80">
        <f t="shared" si="39"/>
        <v>25</v>
      </c>
      <c r="J109" s="80">
        <f t="shared" si="40"/>
        <v>4.5999999999999996</v>
      </c>
      <c r="K109" s="80">
        <f t="shared" si="41"/>
        <v>55.199999999999996</v>
      </c>
      <c r="L109" s="80">
        <f t="shared" si="42"/>
        <v>0.59999999999999964</v>
      </c>
      <c r="M109" s="80">
        <f t="shared" si="43"/>
        <v>7.1999999999999957</v>
      </c>
      <c r="N109" s="224">
        <f t="shared" si="44"/>
        <v>16.875</v>
      </c>
      <c r="O109" s="296" t="str">
        <f t="shared" si="45"/>
        <v>c:\\3cx\\Yealink\\jpg\\T40G.jpg</v>
      </c>
      <c r="P109" s="296" t="str">
        <f t="shared" si="46"/>
        <v>https://lvoip.lu/3cx/Yealink/pdf/T40G.pdf</v>
      </c>
      <c r="Q109" s="80">
        <f>ROUND(Phones!D109/$Q$1,0)</f>
        <v>7</v>
      </c>
      <c r="R109" s="80">
        <f t="shared" si="47"/>
        <v>84</v>
      </c>
      <c r="S109" s="80">
        <f>ROUND(Phones!D109/$S$1,0)</f>
        <v>4</v>
      </c>
      <c r="T109" s="80">
        <f t="shared" si="48"/>
        <v>96</v>
      </c>
      <c r="U109" s="80" t="str">
        <f t="shared" si="49"/>
        <v xml:space="preserve"> 075</v>
      </c>
      <c r="V109" s="80" t="str">
        <f t="shared" si="50"/>
        <v xml:space="preserve"> 004</v>
      </c>
      <c r="W109" s="80" t="str">
        <f t="shared" si="51"/>
        <v xml:space="preserve"> 025</v>
      </c>
    </row>
    <row r="110" spans="1:23" x14ac:dyDescent="0.2">
      <c r="A110" s="75" t="s">
        <v>40</v>
      </c>
      <c r="B110" s="215">
        <v>23</v>
      </c>
      <c r="C110" s="75" t="s">
        <v>83</v>
      </c>
      <c r="D110" s="80">
        <f t="shared" si="35"/>
        <v>75</v>
      </c>
      <c r="E110" s="80">
        <f t="shared" si="36"/>
        <v>22.436581196581194</v>
      </c>
      <c r="F110" s="217">
        <v>52.563418803418806</v>
      </c>
      <c r="G110" s="80">
        <f t="shared" si="52"/>
        <v>4</v>
      </c>
      <c r="H110" s="80">
        <f t="shared" si="38"/>
        <v>48</v>
      </c>
      <c r="I110" s="80">
        <f t="shared" si="39"/>
        <v>25</v>
      </c>
      <c r="J110" s="80">
        <f t="shared" si="40"/>
        <v>4.5999999999999996</v>
      </c>
      <c r="K110" s="80">
        <f t="shared" si="41"/>
        <v>55.199999999999996</v>
      </c>
      <c r="L110" s="80">
        <f t="shared" si="42"/>
        <v>0.59999999999999964</v>
      </c>
      <c r="M110" s="80">
        <f t="shared" si="43"/>
        <v>7.1999999999999957</v>
      </c>
      <c r="N110" s="224">
        <f t="shared" si="44"/>
        <v>16.875</v>
      </c>
      <c r="O110" s="296" t="str">
        <f t="shared" si="45"/>
        <v>c:\\3cx\\Yealink\\jpg\\W53H.jpg</v>
      </c>
      <c r="P110" s="296" t="str">
        <f t="shared" si="46"/>
        <v>https://lvoip.lu/3cx/Yealink/pdf/W53H.pdf</v>
      </c>
      <c r="Q110" s="80">
        <f>ROUND(Phones!D110/$Q$1,0)</f>
        <v>7</v>
      </c>
      <c r="R110" s="80">
        <f t="shared" si="47"/>
        <v>84</v>
      </c>
      <c r="S110" s="80">
        <f>ROUND(Phones!D110/$S$1,0)</f>
        <v>4</v>
      </c>
      <c r="T110" s="80">
        <f t="shared" si="48"/>
        <v>96</v>
      </c>
      <c r="U110" s="80" t="str">
        <f t="shared" si="49"/>
        <v xml:space="preserve"> 075</v>
      </c>
      <c r="V110" s="80" t="str">
        <f t="shared" si="50"/>
        <v xml:space="preserve"> 004</v>
      </c>
      <c r="W110" s="80" t="str">
        <f t="shared" si="51"/>
        <v xml:space="preserve"> 025</v>
      </c>
    </row>
    <row r="111" spans="1:23" x14ac:dyDescent="0.2">
      <c r="A111" s="75" t="s">
        <v>40</v>
      </c>
      <c r="B111" s="215">
        <v>24</v>
      </c>
      <c r="C111" s="213" t="s">
        <v>264</v>
      </c>
      <c r="D111" s="80">
        <f t="shared" si="35"/>
        <v>62</v>
      </c>
      <c r="E111" s="80">
        <f t="shared" si="36"/>
        <v>18.712478632478621</v>
      </c>
      <c r="F111" s="217">
        <v>43.287521367521379</v>
      </c>
      <c r="G111" s="80">
        <f t="shared" si="52"/>
        <v>4</v>
      </c>
      <c r="H111" s="80">
        <f t="shared" si="38"/>
        <v>48</v>
      </c>
      <c r="I111" s="80">
        <f t="shared" si="39"/>
        <v>15</v>
      </c>
      <c r="J111" s="80">
        <f t="shared" si="40"/>
        <v>4.5999999999999996</v>
      </c>
      <c r="K111" s="80">
        <f t="shared" si="41"/>
        <v>55.199999999999996</v>
      </c>
      <c r="L111" s="80">
        <f t="shared" si="42"/>
        <v>0.59999999999999964</v>
      </c>
      <c r="M111" s="80">
        <f t="shared" si="43"/>
        <v>7.1999999999999957</v>
      </c>
      <c r="N111" s="224">
        <f t="shared" si="44"/>
        <v>13.950000000000001</v>
      </c>
      <c r="O111" s="296" t="str">
        <f t="shared" si="45"/>
        <v>c:\\3cx\\Yealink\\jpg\\T21P-E2.jpg</v>
      </c>
      <c r="P111" s="296" t="str">
        <f t="shared" si="46"/>
        <v>https://lvoip.lu/3cx/Yealink/pdf/T21P-E2.pdf</v>
      </c>
      <c r="Q111" s="80">
        <f>ROUND(Phones!D111/$Q$1,0)</f>
        <v>6</v>
      </c>
      <c r="R111" s="80">
        <f t="shared" si="47"/>
        <v>72</v>
      </c>
      <c r="S111" s="80">
        <f>ROUND(Phones!D111/$S$1,0)</f>
        <v>3</v>
      </c>
      <c r="T111" s="80">
        <f t="shared" si="48"/>
        <v>72</v>
      </c>
      <c r="U111" s="80" t="str">
        <f t="shared" si="49"/>
        <v xml:space="preserve"> 062</v>
      </c>
      <c r="V111" s="80" t="str">
        <f t="shared" si="50"/>
        <v xml:space="preserve"> 004</v>
      </c>
      <c r="W111" s="80" t="str">
        <f t="shared" si="51"/>
        <v xml:space="preserve"> 015</v>
      </c>
    </row>
    <row r="112" spans="1:23" x14ac:dyDescent="0.2">
      <c r="A112" s="75" t="s">
        <v>40</v>
      </c>
      <c r="B112" s="215">
        <v>25</v>
      </c>
      <c r="C112" s="213" t="s">
        <v>263</v>
      </c>
      <c r="D112" s="80">
        <f t="shared" si="35"/>
        <v>53</v>
      </c>
      <c r="E112" s="80">
        <f t="shared" si="36"/>
        <v>15.905982905982903</v>
      </c>
      <c r="F112" s="217">
        <v>37.094017094017097</v>
      </c>
      <c r="G112" s="80">
        <f t="shared" si="52"/>
        <v>4</v>
      </c>
      <c r="H112" s="80">
        <f t="shared" si="38"/>
        <v>48</v>
      </c>
      <c r="I112" s="80">
        <f t="shared" si="39"/>
        <v>15</v>
      </c>
      <c r="J112" s="80">
        <f t="shared" si="40"/>
        <v>4.5999999999999996</v>
      </c>
      <c r="K112" s="80">
        <f t="shared" si="41"/>
        <v>55.199999999999996</v>
      </c>
      <c r="L112" s="80">
        <f t="shared" si="42"/>
        <v>0.59999999999999964</v>
      </c>
      <c r="M112" s="80">
        <f t="shared" si="43"/>
        <v>7.1999999999999957</v>
      </c>
      <c r="N112" s="224">
        <f t="shared" si="44"/>
        <v>11.925000000000001</v>
      </c>
      <c r="O112" s="296" t="str">
        <f t="shared" si="45"/>
        <v>c:\\3cx\\Yealink\\jpg\\T19P-E2.jpg</v>
      </c>
      <c r="P112" s="296" t="str">
        <f t="shared" si="46"/>
        <v>https://lvoip.lu/3cx/Yealink/pdf/T19P-E2.pdf</v>
      </c>
      <c r="Q112" s="80">
        <f>ROUND(Phones!D112/$Q$1,0)</f>
        <v>5</v>
      </c>
      <c r="R112" s="80">
        <f t="shared" si="47"/>
        <v>60</v>
      </c>
      <c r="S112" s="80">
        <f>ROUND(Phones!D112/$S$1,0)</f>
        <v>3</v>
      </c>
      <c r="T112" s="80">
        <f t="shared" si="48"/>
        <v>72</v>
      </c>
      <c r="U112" s="80" t="str">
        <f t="shared" si="49"/>
        <v xml:space="preserve"> 053</v>
      </c>
      <c r="V112" s="80" t="str">
        <f t="shared" si="50"/>
        <v xml:space="preserve"> 004</v>
      </c>
      <c r="W112" s="80" t="str">
        <f t="shared" si="51"/>
        <v xml:space="preserve"> 015</v>
      </c>
    </row>
    <row r="113" spans="1:23" x14ac:dyDescent="0.2">
      <c r="A113" s="75" t="s">
        <v>40</v>
      </c>
      <c r="B113" s="215">
        <v>26</v>
      </c>
      <c r="C113" s="75" t="s">
        <v>90</v>
      </c>
      <c r="D113" s="80">
        <f t="shared" si="35"/>
        <v>707</v>
      </c>
      <c r="E113" s="80">
        <f t="shared" si="36"/>
        <v>211.99829059829051</v>
      </c>
      <c r="F113" s="217">
        <v>495.00170940170949</v>
      </c>
      <c r="G113" s="80">
        <f t="shared" si="52"/>
        <v>11</v>
      </c>
      <c r="H113" s="80">
        <f t="shared" si="38"/>
        <v>132</v>
      </c>
      <c r="I113" s="80">
        <f t="shared" si="39"/>
        <v>35</v>
      </c>
      <c r="J113" s="80">
        <f t="shared" si="40"/>
        <v>12.65</v>
      </c>
      <c r="K113" s="80">
        <f t="shared" si="41"/>
        <v>151.80000000000001</v>
      </c>
      <c r="L113" s="80">
        <f t="shared" si="42"/>
        <v>1.6500000000000004</v>
      </c>
      <c r="M113" s="80">
        <f t="shared" si="43"/>
        <v>19.800000000000004</v>
      </c>
      <c r="N113" s="224">
        <f t="shared" si="44"/>
        <v>159.07500000000002</v>
      </c>
      <c r="O113" s="296" t="str">
        <f t="shared" si="45"/>
        <v>c:\\3cx\\Yealink\\jpg\\CP960WM.jpg</v>
      </c>
      <c r="P113" s="296" t="str">
        <f t="shared" si="46"/>
        <v>https://lvoip.lu/3cx/Yealink/pdf/CP960WM.pdf</v>
      </c>
      <c r="Q113" s="80">
        <f>ROUND(Phones!D113/$Q$1,0)</f>
        <v>67</v>
      </c>
      <c r="R113" s="80">
        <f t="shared" si="47"/>
        <v>804</v>
      </c>
      <c r="S113" s="80">
        <f>ROUND(Phones!D113/$S$1,0)</f>
        <v>37</v>
      </c>
      <c r="T113" s="80">
        <f t="shared" si="48"/>
        <v>888</v>
      </c>
      <c r="U113" s="80" t="str">
        <f t="shared" si="49"/>
        <v xml:space="preserve"> 707</v>
      </c>
      <c r="V113" s="80" t="str">
        <f t="shared" si="50"/>
        <v xml:space="preserve"> 011</v>
      </c>
      <c r="W113" s="80" t="str">
        <f t="shared" si="51"/>
        <v xml:space="preserve"> 035</v>
      </c>
    </row>
    <row r="114" spans="1:23" x14ac:dyDescent="0.2">
      <c r="A114" s="75" t="s">
        <v>40</v>
      </c>
      <c r="B114" s="215">
        <v>27</v>
      </c>
      <c r="C114" s="75" t="s">
        <v>89</v>
      </c>
      <c r="D114" s="80">
        <f t="shared" si="35"/>
        <v>548</v>
      </c>
      <c r="E114" s="80">
        <f t="shared" si="36"/>
        <v>164.3760683760683</v>
      </c>
      <c r="F114" s="217">
        <v>383.6239316239317</v>
      </c>
      <c r="G114" s="80">
        <f t="shared" si="52"/>
        <v>11</v>
      </c>
      <c r="H114" s="80">
        <f t="shared" si="38"/>
        <v>132</v>
      </c>
      <c r="I114" s="80">
        <f t="shared" si="39"/>
        <v>35</v>
      </c>
      <c r="J114" s="80">
        <f t="shared" si="40"/>
        <v>12.65</v>
      </c>
      <c r="K114" s="80">
        <f t="shared" si="41"/>
        <v>151.80000000000001</v>
      </c>
      <c r="L114" s="80">
        <f t="shared" si="42"/>
        <v>1.6500000000000004</v>
      </c>
      <c r="M114" s="80">
        <f t="shared" si="43"/>
        <v>19.800000000000004</v>
      </c>
      <c r="N114" s="224">
        <f t="shared" si="44"/>
        <v>123.3</v>
      </c>
      <c r="O114" s="296" t="str">
        <f t="shared" si="45"/>
        <v>c:\\3cx\\Yealink\\jpg\\CP960.jpg</v>
      </c>
      <c r="P114" s="296" t="str">
        <f t="shared" si="46"/>
        <v>https://lvoip.lu/3cx/Yealink/pdf/CP960.pdf</v>
      </c>
      <c r="Q114" s="80">
        <f>ROUND(Phones!D114/$Q$1,0)</f>
        <v>52</v>
      </c>
      <c r="R114" s="80">
        <f t="shared" si="47"/>
        <v>624</v>
      </c>
      <c r="S114" s="80">
        <f>ROUND(Phones!D114/$S$1,0)</f>
        <v>28</v>
      </c>
      <c r="T114" s="80">
        <f t="shared" si="48"/>
        <v>672</v>
      </c>
      <c r="U114" s="80" t="str">
        <f t="shared" si="49"/>
        <v xml:space="preserve"> 548</v>
      </c>
      <c r="V114" s="80" t="str">
        <f t="shared" si="50"/>
        <v xml:space="preserve"> 011</v>
      </c>
      <c r="W114" s="80" t="str">
        <f t="shared" si="51"/>
        <v xml:space="preserve"> 035</v>
      </c>
    </row>
    <row r="115" spans="1:23" x14ac:dyDescent="0.2">
      <c r="A115" s="75" t="s">
        <v>40</v>
      </c>
      <c r="B115" s="215">
        <v>28</v>
      </c>
      <c r="C115" s="75" t="s">
        <v>88</v>
      </c>
      <c r="D115" s="80">
        <f t="shared" si="35"/>
        <v>442</v>
      </c>
      <c r="E115" s="80">
        <f t="shared" si="36"/>
        <v>132.63111111111107</v>
      </c>
      <c r="F115" s="217">
        <v>309.36888888888893</v>
      </c>
      <c r="G115" s="80">
        <f t="shared" si="52"/>
        <v>11</v>
      </c>
      <c r="H115" s="80">
        <f t="shared" si="38"/>
        <v>132</v>
      </c>
      <c r="I115" s="80">
        <f t="shared" si="39"/>
        <v>35</v>
      </c>
      <c r="J115" s="80">
        <f t="shared" si="40"/>
        <v>12.65</v>
      </c>
      <c r="K115" s="80">
        <f t="shared" si="41"/>
        <v>151.80000000000001</v>
      </c>
      <c r="L115" s="80">
        <f t="shared" si="42"/>
        <v>1.6500000000000004</v>
      </c>
      <c r="M115" s="80">
        <f t="shared" si="43"/>
        <v>19.800000000000004</v>
      </c>
      <c r="N115" s="224">
        <f t="shared" si="44"/>
        <v>99.45</v>
      </c>
      <c r="O115" s="296" t="str">
        <f t="shared" si="45"/>
        <v>c:\\3cx\\Yealink\\jpg\\CP930W.jpg</v>
      </c>
      <c r="P115" s="296" t="str">
        <f t="shared" si="46"/>
        <v>https://lvoip.lu/3cx/Yealink/pdf/CP930W.pdf</v>
      </c>
      <c r="Q115" s="80">
        <f>ROUND(Phones!D115/$Q$1,0)</f>
        <v>42</v>
      </c>
      <c r="R115" s="80">
        <f t="shared" si="47"/>
        <v>504</v>
      </c>
      <c r="S115" s="80">
        <f>ROUND(Phones!D115/$S$1,0)</f>
        <v>23</v>
      </c>
      <c r="T115" s="80">
        <f t="shared" si="48"/>
        <v>552</v>
      </c>
      <c r="U115" s="80" t="str">
        <f t="shared" si="49"/>
        <v xml:space="preserve"> 442</v>
      </c>
      <c r="V115" s="80" t="str">
        <f t="shared" si="50"/>
        <v xml:space="preserve"> 011</v>
      </c>
      <c r="W115" s="80" t="str">
        <f t="shared" si="51"/>
        <v xml:space="preserve"> 035</v>
      </c>
    </row>
    <row r="116" spans="1:23" x14ac:dyDescent="0.2">
      <c r="A116" s="75" t="s">
        <v>40</v>
      </c>
      <c r="B116" s="215">
        <v>29</v>
      </c>
      <c r="C116" s="75" t="s">
        <v>87</v>
      </c>
      <c r="D116" s="80">
        <f t="shared" si="35"/>
        <v>354</v>
      </c>
      <c r="E116" s="80">
        <f t="shared" si="36"/>
        <v>106.518290598291</v>
      </c>
      <c r="F116" s="217">
        <v>247.481709401709</v>
      </c>
      <c r="G116" s="80">
        <f t="shared" si="52"/>
        <v>10</v>
      </c>
      <c r="H116" s="80">
        <f t="shared" si="38"/>
        <v>120</v>
      </c>
      <c r="I116" s="80">
        <f t="shared" si="39"/>
        <v>35</v>
      </c>
      <c r="J116" s="80">
        <f t="shared" si="40"/>
        <v>11.5</v>
      </c>
      <c r="K116" s="80">
        <f t="shared" si="41"/>
        <v>138</v>
      </c>
      <c r="L116" s="80">
        <f t="shared" si="42"/>
        <v>1.5</v>
      </c>
      <c r="M116" s="80">
        <f t="shared" si="43"/>
        <v>18</v>
      </c>
      <c r="N116" s="224">
        <f t="shared" si="44"/>
        <v>79.650000000000006</v>
      </c>
      <c r="O116" s="296" t="str">
        <f t="shared" si="45"/>
        <v>c:\\3cx\\Yealink\\jpg\\CP920.jpg</v>
      </c>
      <c r="P116" s="296" t="str">
        <f t="shared" si="46"/>
        <v>https://lvoip.lu/3cx/Yealink/pdf/CP920.pdf</v>
      </c>
      <c r="Q116" s="80">
        <f>ROUND(Phones!D116/$Q$1,0)</f>
        <v>33</v>
      </c>
      <c r="R116" s="80">
        <f t="shared" si="47"/>
        <v>396</v>
      </c>
      <c r="S116" s="80">
        <f>ROUND(Phones!D116/$S$1,0)</f>
        <v>18</v>
      </c>
      <c r="T116" s="80">
        <f t="shared" si="48"/>
        <v>432</v>
      </c>
      <c r="U116" s="80" t="str">
        <f t="shared" si="49"/>
        <v xml:space="preserve"> 354</v>
      </c>
      <c r="V116" s="80" t="str">
        <f t="shared" si="50"/>
        <v xml:space="preserve"> 010</v>
      </c>
      <c r="W116" s="80" t="str">
        <f t="shared" si="51"/>
        <v xml:space="preserve"> 035</v>
      </c>
    </row>
    <row r="117" spans="1:23" x14ac:dyDescent="0.2">
      <c r="A117" s="75" t="s">
        <v>40</v>
      </c>
      <c r="B117" s="215">
        <v>30</v>
      </c>
      <c r="C117" s="75" t="s">
        <v>91</v>
      </c>
      <c r="D117" s="80">
        <f t="shared" si="35"/>
        <v>34</v>
      </c>
      <c r="E117" s="80">
        <f t="shared" si="36"/>
        <v>9.8673504273504236</v>
      </c>
      <c r="F117" s="217">
        <v>24.132649572649576</v>
      </c>
      <c r="G117" s="80">
        <f t="shared" si="52"/>
        <v>4</v>
      </c>
      <c r="H117" s="80">
        <f t="shared" si="38"/>
        <v>48</v>
      </c>
      <c r="I117" s="80">
        <f t="shared" si="39"/>
        <v>15</v>
      </c>
      <c r="J117" s="80">
        <f t="shared" si="40"/>
        <v>4.5999999999999996</v>
      </c>
      <c r="K117" s="80">
        <f t="shared" si="41"/>
        <v>55.199999999999996</v>
      </c>
      <c r="L117" s="80">
        <f t="shared" si="42"/>
        <v>0.59999999999999964</v>
      </c>
      <c r="M117" s="80">
        <f t="shared" si="43"/>
        <v>7.1999999999999957</v>
      </c>
      <c r="N117" s="224">
        <f t="shared" si="44"/>
        <v>7.65</v>
      </c>
      <c r="O117" s="296" t="str">
        <f t="shared" si="45"/>
        <v>c:\\3cx\\Yealink\\jpg\\EHS36.jpg</v>
      </c>
      <c r="P117" s="296" t="str">
        <f t="shared" si="46"/>
        <v>https://lvoip.lu/3cx/Yealink/pdf/EHS36.pdf</v>
      </c>
      <c r="Q117" s="80">
        <f>ROUND(Phones!D117/$Q$1,0)</f>
        <v>3</v>
      </c>
      <c r="R117" s="80">
        <f t="shared" si="47"/>
        <v>36</v>
      </c>
      <c r="S117" s="80">
        <f>ROUND(Phones!D117/$S$1,0)</f>
        <v>2</v>
      </c>
      <c r="T117" s="80">
        <f t="shared" si="48"/>
        <v>48</v>
      </c>
      <c r="U117" s="80" t="str">
        <f t="shared" si="49"/>
        <v xml:space="preserve"> 034</v>
      </c>
      <c r="V117" s="80" t="str">
        <f t="shared" si="50"/>
        <v xml:space="preserve"> 004</v>
      </c>
      <c r="W117" s="80" t="str">
        <f t="shared" si="51"/>
        <v xml:space="preserve"> 015</v>
      </c>
    </row>
    <row r="118" spans="1:23" x14ac:dyDescent="0.2">
      <c r="A118" s="75" t="s">
        <v>40</v>
      </c>
      <c r="B118" s="215">
        <v>31</v>
      </c>
      <c r="C118" s="213" t="s">
        <v>244</v>
      </c>
      <c r="D118" s="80">
        <f t="shared" si="35"/>
        <v>31</v>
      </c>
      <c r="E118" s="80">
        <f t="shared" si="36"/>
        <v>9.3753846153846112</v>
      </c>
      <c r="F118" s="217">
        <v>21.624615384615389</v>
      </c>
      <c r="G118" s="80">
        <f t="shared" si="52"/>
        <v>4</v>
      </c>
      <c r="H118" s="80">
        <f t="shared" si="38"/>
        <v>48</v>
      </c>
      <c r="I118" s="80">
        <f t="shared" si="39"/>
        <v>15</v>
      </c>
      <c r="J118" s="80">
        <f t="shared" si="40"/>
        <v>4.5999999999999996</v>
      </c>
      <c r="K118" s="80">
        <f t="shared" si="41"/>
        <v>55.199999999999996</v>
      </c>
      <c r="L118" s="80">
        <f t="shared" si="42"/>
        <v>0.59999999999999964</v>
      </c>
      <c r="M118" s="80">
        <f t="shared" si="43"/>
        <v>7.1999999999999957</v>
      </c>
      <c r="N118" s="224">
        <f t="shared" si="44"/>
        <v>6.9750000000000005</v>
      </c>
      <c r="O118" s="296" t="str">
        <f t="shared" si="45"/>
        <v>c:\\3cx\\Yealink\\jpg\\YHS33.jpg</v>
      </c>
      <c r="P118" s="296" t="str">
        <f t="shared" si="46"/>
        <v>https://lvoip.lu/3cx/Yealink/pdf/YHS33.pdf</v>
      </c>
      <c r="Q118" s="80">
        <f>ROUND(Phones!D118/$Q$1,0)</f>
        <v>3</v>
      </c>
      <c r="R118" s="80">
        <f t="shared" si="47"/>
        <v>36</v>
      </c>
      <c r="S118" s="80">
        <f>ROUND(Phones!D118/$S$1,0)</f>
        <v>2</v>
      </c>
      <c r="T118" s="80">
        <f t="shared" si="48"/>
        <v>48</v>
      </c>
      <c r="U118" s="80" t="str">
        <f t="shared" si="49"/>
        <v xml:space="preserve"> 031</v>
      </c>
      <c r="V118" s="80" t="str">
        <f t="shared" si="50"/>
        <v xml:space="preserve"> 004</v>
      </c>
      <c r="W118" s="80" t="str">
        <f t="shared" si="51"/>
        <v xml:space="preserve"> 015</v>
      </c>
    </row>
    <row r="119" spans="1:23" x14ac:dyDescent="0.2">
      <c r="A119" s="75" t="s">
        <v>40</v>
      </c>
      <c r="B119" s="215">
        <v>32</v>
      </c>
      <c r="C119" s="75" t="s">
        <v>93</v>
      </c>
      <c r="D119" s="80">
        <f t="shared" si="35"/>
        <v>40</v>
      </c>
      <c r="E119" s="80">
        <f t="shared" si="36"/>
        <v>12.191452991452987</v>
      </c>
      <c r="F119" s="217">
        <v>27.808547008547013</v>
      </c>
      <c r="G119" s="80">
        <f t="shared" si="52"/>
        <v>4</v>
      </c>
      <c r="H119" s="80">
        <f t="shared" si="38"/>
        <v>48</v>
      </c>
      <c r="I119" s="80">
        <f t="shared" si="39"/>
        <v>15</v>
      </c>
      <c r="J119" s="80">
        <f t="shared" si="40"/>
        <v>4.5999999999999996</v>
      </c>
      <c r="K119" s="80">
        <f t="shared" si="41"/>
        <v>55.199999999999996</v>
      </c>
      <c r="L119" s="80">
        <f t="shared" si="42"/>
        <v>0.59999999999999964</v>
      </c>
      <c r="M119" s="80">
        <f t="shared" si="43"/>
        <v>7.1999999999999957</v>
      </c>
      <c r="N119" s="224">
        <f t="shared" si="44"/>
        <v>9</v>
      </c>
      <c r="O119" s="296" t="str">
        <f t="shared" si="45"/>
        <v>c:\\3cx\\Yealink\\jpg\\YLPOE30.jpg</v>
      </c>
      <c r="P119" s="296" t="str">
        <f t="shared" si="46"/>
        <v>https://lvoip.lu/3cx/Yealink/pdf/YLPOE30.pdf</v>
      </c>
      <c r="Q119" s="80">
        <f>ROUND(Phones!D119/$Q$1,0)</f>
        <v>4</v>
      </c>
      <c r="R119" s="80">
        <f t="shared" si="47"/>
        <v>48</v>
      </c>
      <c r="S119" s="80">
        <f>ROUND(Phones!D119/$S$1,0)</f>
        <v>2</v>
      </c>
      <c r="T119" s="80">
        <f t="shared" si="48"/>
        <v>48</v>
      </c>
      <c r="U119" s="80" t="str">
        <f t="shared" si="49"/>
        <v xml:space="preserve"> 040</v>
      </c>
      <c r="V119" s="80" t="str">
        <f t="shared" si="50"/>
        <v xml:space="preserve"> 004</v>
      </c>
      <c r="W119" s="80" t="str">
        <f t="shared" si="51"/>
        <v xml:space="preserve"> 015</v>
      </c>
    </row>
    <row r="120" spans="1:23" x14ac:dyDescent="0.2">
      <c r="A120" s="75" t="s">
        <v>40</v>
      </c>
      <c r="B120" s="215">
        <v>33</v>
      </c>
      <c r="C120" s="213" t="s">
        <v>246</v>
      </c>
      <c r="D120" s="80">
        <f t="shared" si="35"/>
        <v>8</v>
      </c>
      <c r="E120" s="80">
        <f t="shared" si="36"/>
        <v>2.4382905982905978</v>
      </c>
      <c r="F120" s="217">
        <v>5.5617094017094022</v>
      </c>
      <c r="G120" s="80">
        <f t="shared" si="52"/>
        <v>4</v>
      </c>
      <c r="H120" s="80">
        <f t="shared" si="38"/>
        <v>48</v>
      </c>
      <c r="I120" s="80">
        <f t="shared" si="39"/>
        <v>15</v>
      </c>
      <c r="J120" s="80">
        <f t="shared" si="40"/>
        <v>4.5999999999999996</v>
      </c>
      <c r="K120" s="80">
        <f t="shared" si="41"/>
        <v>55.199999999999996</v>
      </c>
      <c r="L120" s="80">
        <f t="shared" si="42"/>
        <v>0.59999999999999964</v>
      </c>
      <c r="M120" s="80">
        <f t="shared" si="43"/>
        <v>7.1999999999999957</v>
      </c>
      <c r="N120" s="224">
        <f t="shared" si="44"/>
        <v>1.8</v>
      </c>
      <c r="O120" s="296" t="str">
        <f t="shared" si="45"/>
        <v>c:\\3cx\\Yealink\\jpg\\PS-T2.jpg</v>
      </c>
      <c r="P120" s="296" t="str">
        <f t="shared" si="46"/>
        <v>https://lvoip.lu/3cx/Yealink/pdf/PS-T2.pdf</v>
      </c>
      <c r="Q120" s="80">
        <f>ROUND(Phones!D120/$Q$1,0)</f>
        <v>1</v>
      </c>
      <c r="R120" s="80">
        <f t="shared" si="47"/>
        <v>12</v>
      </c>
      <c r="S120" s="80">
        <f>ROUND(Phones!D120/$S$1,0)</f>
        <v>0</v>
      </c>
      <c r="T120" s="80">
        <f t="shared" si="48"/>
        <v>0</v>
      </c>
      <c r="U120" s="80" t="str">
        <f t="shared" si="49"/>
        <v xml:space="preserve"> 008</v>
      </c>
      <c r="V120" s="80" t="str">
        <f t="shared" si="50"/>
        <v xml:space="preserve"> 004</v>
      </c>
      <c r="W120" s="80" t="str">
        <f t="shared" si="51"/>
        <v xml:space="preserve"> 015</v>
      </c>
    </row>
    <row r="121" spans="1:23" x14ac:dyDescent="0.2">
      <c r="A121" s="75" t="s">
        <v>40</v>
      </c>
      <c r="B121" s="215">
        <v>34</v>
      </c>
      <c r="C121" s="75" t="s">
        <v>92</v>
      </c>
      <c r="D121" s="80">
        <f t="shared" si="35"/>
        <v>11</v>
      </c>
      <c r="E121" s="80">
        <f t="shared" si="36"/>
        <v>3.609914529914529</v>
      </c>
      <c r="F121" s="217">
        <v>7.390085470085471</v>
      </c>
      <c r="G121" s="80">
        <f t="shared" si="52"/>
        <v>4</v>
      </c>
      <c r="H121" s="80">
        <f t="shared" si="38"/>
        <v>48</v>
      </c>
      <c r="I121" s="80">
        <f t="shared" si="39"/>
        <v>15</v>
      </c>
      <c r="J121" s="80">
        <f t="shared" si="40"/>
        <v>4.5999999999999996</v>
      </c>
      <c r="K121" s="80">
        <f t="shared" si="41"/>
        <v>55.199999999999996</v>
      </c>
      <c r="L121" s="80">
        <f t="shared" si="42"/>
        <v>0.59999999999999964</v>
      </c>
      <c r="M121" s="80">
        <f t="shared" si="43"/>
        <v>7.1999999999999957</v>
      </c>
      <c r="N121" s="224">
        <f t="shared" si="44"/>
        <v>2.4750000000000001</v>
      </c>
      <c r="O121" s="296" t="str">
        <f t="shared" si="45"/>
        <v>c:\\3cx\\Yealink\\jpg\\PS-T4.jpg</v>
      </c>
      <c r="P121" s="296" t="str">
        <f t="shared" si="46"/>
        <v>https://lvoip.lu/3cx/Yealink/pdf/PS-T4.pdf</v>
      </c>
      <c r="Q121" s="80">
        <f>ROUND(Phones!D121/$Q$1,0)</f>
        <v>1</v>
      </c>
      <c r="R121" s="80">
        <f t="shared" si="47"/>
        <v>12</v>
      </c>
      <c r="S121" s="80">
        <f>ROUND(Phones!D121/$S$1,0)</f>
        <v>1</v>
      </c>
      <c r="T121" s="80">
        <f t="shared" si="48"/>
        <v>24</v>
      </c>
      <c r="U121" s="80" t="str">
        <f t="shared" si="49"/>
        <v xml:space="preserve"> 011</v>
      </c>
      <c r="V121" s="80" t="str">
        <f t="shared" si="50"/>
        <v xml:space="preserve"> 004</v>
      </c>
      <c r="W121" s="80" t="str">
        <f t="shared" si="51"/>
        <v xml:space="preserve"> 015</v>
      </c>
    </row>
    <row r="122" spans="1:23" x14ac:dyDescent="0.2">
      <c r="A122" s="75" t="s">
        <v>260</v>
      </c>
      <c r="B122" s="215">
        <v>1</v>
      </c>
      <c r="C122" s="75" t="s">
        <v>261</v>
      </c>
      <c r="D122" s="80">
        <f t="shared" si="35"/>
        <v>38</v>
      </c>
      <c r="E122" s="80">
        <f t="shared" si="36"/>
        <v>11.5</v>
      </c>
      <c r="F122" s="217">
        <v>26.5</v>
      </c>
      <c r="G122" s="80">
        <f t="shared" si="52"/>
        <v>4</v>
      </c>
      <c r="H122" s="80">
        <f t="shared" si="38"/>
        <v>48</v>
      </c>
      <c r="I122" s="80">
        <f t="shared" si="39"/>
        <v>15</v>
      </c>
      <c r="J122" s="80">
        <f t="shared" si="40"/>
        <v>4.5999999999999996</v>
      </c>
      <c r="K122" s="80">
        <f t="shared" si="41"/>
        <v>55.199999999999996</v>
      </c>
      <c r="L122" s="80">
        <f t="shared" si="42"/>
        <v>0.59999999999999964</v>
      </c>
      <c r="M122" s="80">
        <f t="shared" si="43"/>
        <v>7.1999999999999957</v>
      </c>
      <c r="N122" s="224">
        <f t="shared" si="44"/>
        <v>8.5500000000000007</v>
      </c>
      <c r="O122" s="296" t="str">
        <f t="shared" si="45"/>
        <v>c:\\3cx\\Grandstream\\jpg\\HT801.jpg</v>
      </c>
      <c r="P122" s="296" t="str">
        <f t="shared" si="46"/>
        <v>https://lvoip.lu/3cx/Grandstream/pdf/HT801.pdf</v>
      </c>
      <c r="Q122" s="80">
        <f>ROUND(Phones!D122/$Q$1,0)</f>
        <v>4</v>
      </c>
      <c r="R122" s="80">
        <f t="shared" si="47"/>
        <v>48</v>
      </c>
      <c r="S122" s="80">
        <f>ROUND(Phones!D122/$S$1,0)</f>
        <v>2</v>
      </c>
      <c r="T122" s="80">
        <f t="shared" si="48"/>
        <v>48</v>
      </c>
      <c r="U122" s="80" t="str">
        <f t="shared" si="49"/>
        <v xml:space="preserve"> 038</v>
      </c>
      <c r="V122" s="80" t="str">
        <f t="shared" si="50"/>
        <v xml:space="preserve"> 004</v>
      </c>
      <c r="W122" s="80" t="str">
        <f t="shared" si="51"/>
        <v xml:space="preserve"> 015</v>
      </c>
    </row>
    <row r="123" spans="1:23" x14ac:dyDescent="0.2">
      <c r="A123" s="75" t="s">
        <v>260</v>
      </c>
      <c r="B123" s="215">
        <v>2</v>
      </c>
      <c r="C123" s="75" t="s">
        <v>262</v>
      </c>
      <c r="D123" s="80">
        <f t="shared" si="35"/>
        <v>47</v>
      </c>
      <c r="E123" s="80">
        <f t="shared" si="36"/>
        <v>14.200000000000003</v>
      </c>
      <c r="F123" s="217">
        <v>32.799999999999997</v>
      </c>
      <c r="G123" s="80">
        <f t="shared" si="52"/>
        <v>4</v>
      </c>
      <c r="H123" s="80">
        <f t="shared" si="38"/>
        <v>48</v>
      </c>
      <c r="I123" s="80">
        <f t="shared" si="39"/>
        <v>15</v>
      </c>
      <c r="J123" s="80">
        <f t="shared" si="40"/>
        <v>4.5999999999999996</v>
      </c>
      <c r="K123" s="80">
        <f t="shared" si="41"/>
        <v>55.199999999999996</v>
      </c>
      <c r="L123" s="80">
        <f t="shared" si="42"/>
        <v>0.59999999999999964</v>
      </c>
      <c r="M123" s="80">
        <f t="shared" si="43"/>
        <v>7.1999999999999957</v>
      </c>
      <c r="N123" s="224">
        <f t="shared" si="44"/>
        <v>10.575000000000001</v>
      </c>
      <c r="O123" s="296" t="str">
        <f t="shared" si="45"/>
        <v>c:\\3cx\\Grandstream\\jpg\\HT802.jpg</v>
      </c>
      <c r="P123" s="296" t="str">
        <f t="shared" si="46"/>
        <v>https://lvoip.lu/3cx/Grandstream/pdf/HT802.pdf</v>
      </c>
      <c r="Q123" s="80">
        <f>ROUND(Phones!D123/$Q$1,0)</f>
        <v>4</v>
      </c>
      <c r="R123" s="80">
        <f t="shared" si="47"/>
        <v>48</v>
      </c>
      <c r="S123" s="80">
        <f>ROUND(Phones!D123/$S$1,0)</f>
        <v>2</v>
      </c>
      <c r="T123" s="80">
        <f t="shared" si="48"/>
        <v>48</v>
      </c>
      <c r="U123" s="80" t="str">
        <f t="shared" si="49"/>
        <v xml:space="preserve"> 047</v>
      </c>
      <c r="V123" s="80" t="str">
        <f t="shared" si="50"/>
        <v xml:space="preserve"> 004</v>
      </c>
      <c r="W123" s="80" t="str">
        <f t="shared" si="51"/>
        <v xml:space="preserve"> 015</v>
      </c>
    </row>
    <row r="124" spans="1:23" x14ac:dyDescent="0.2">
      <c r="A124" s="75" t="s">
        <v>275</v>
      </c>
      <c r="B124" s="215">
        <v>1</v>
      </c>
      <c r="C124" s="75" t="s">
        <v>276</v>
      </c>
      <c r="D124" s="80">
        <f t="shared" si="35"/>
        <v>239</v>
      </c>
      <c r="E124" s="80">
        <f t="shared" si="36"/>
        <v>71.699999999999989</v>
      </c>
      <c r="F124" s="217">
        <v>167.3</v>
      </c>
      <c r="G124" s="80">
        <f t="shared" si="52"/>
        <v>7</v>
      </c>
      <c r="H124" s="80">
        <f t="shared" si="38"/>
        <v>84</v>
      </c>
      <c r="I124" s="80">
        <f t="shared" si="39"/>
        <v>35</v>
      </c>
      <c r="J124" s="80">
        <f t="shared" si="40"/>
        <v>8.0500000000000007</v>
      </c>
      <c r="K124" s="80">
        <f t="shared" si="41"/>
        <v>96.600000000000009</v>
      </c>
      <c r="L124" s="80">
        <f t="shared" si="42"/>
        <v>1.0500000000000007</v>
      </c>
      <c r="M124" s="80">
        <f t="shared" si="43"/>
        <v>12.600000000000009</v>
      </c>
      <c r="N124" s="224">
        <f t="shared" si="44"/>
        <v>53.774999999999999</v>
      </c>
      <c r="O124" s="296" t="str">
        <f t="shared" si="45"/>
        <v>c:\\3cx\\Plantronics\\jpg\\CS520.jpg</v>
      </c>
      <c r="P124" s="296" t="str">
        <f t="shared" si="46"/>
        <v>https://lvoip.lu/3cx/Plantronics/pdf/CS520.pdf</v>
      </c>
      <c r="Q124" s="80">
        <f>ROUND(Phones!D124/$Q$1,0)</f>
        <v>23</v>
      </c>
      <c r="R124" s="80">
        <f t="shared" si="47"/>
        <v>276</v>
      </c>
      <c r="S124" s="80">
        <f>ROUND(Phones!D124/$S$1,0)</f>
        <v>12</v>
      </c>
      <c r="T124" s="80">
        <f t="shared" si="48"/>
        <v>288</v>
      </c>
      <c r="U124" s="80" t="str">
        <f t="shared" si="49"/>
        <v xml:space="preserve"> 239</v>
      </c>
      <c r="V124" s="80" t="str">
        <f t="shared" si="50"/>
        <v xml:space="preserve"> 007</v>
      </c>
      <c r="W124" s="80" t="str">
        <f t="shared" si="51"/>
        <v xml:space="preserve"> 035</v>
      </c>
    </row>
    <row r="125" spans="1:23" x14ac:dyDescent="0.2">
      <c r="A125" s="75" t="s">
        <v>51</v>
      </c>
      <c r="C125" s="75" t="s">
        <v>51</v>
      </c>
      <c r="D125" s="76">
        <v>0</v>
      </c>
      <c r="E125" s="77">
        <v>0</v>
      </c>
      <c r="F125" s="76">
        <v>0</v>
      </c>
      <c r="G125" s="80">
        <f t="shared" si="52"/>
        <v>4</v>
      </c>
      <c r="H125" s="80">
        <f t="shared" si="38"/>
        <v>48</v>
      </c>
      <c r="I125" s="80">
        <f t="shared" si="39"/>
        <v>15</v>
      </c>
      <c r="J125" s="80">
        <f t="shared" si="40"/>
        <v>4.5999999999999996</v>
      </c>
      <c r="K125" s="80">
        <f t="shared" si="41"/>
        <v>55.199999999999996</v>
      </c>
      <c r="L125" s="80">
        <f t="shared" si="42"/>
        <v>0.59999999999999964</v>
      </c>
      <c r="M125" s="80">
        <f t="shared" si="43"/>
        <v>7.1999999999999957</v>
      </c>
      <c r="N125" s="224">
        <f t="shared" si="44"/>
        <v>0</v>
      </c>
      <c r="O125" s="296" t="str">
        <f t="shared" si="45"/>
        <v>c:\\3cx\\-\\jpg\\-.jpg</v>
      </c>
      <c r="P125" s="296" t="str">
        <f t="shared" si="46"/>
        <v>https://lvoip.lu/3cx/-/pdf/-.pdf</v>
      </c>
      <c r="Q125" s="80">
        <f>ROUND(Phones!D125/$Q$1,0)</f>
        <v>0</v>
      </c>
      <c r="R125" s="80">
        <f t="shared" si="47"/>
        <v>0</v>
      </c>
      <c r="S125" s="80">
        <f>ROUND(Phones!D125/$S$1,0)</f>
        <v>0</v>
      </c>
      <c r="T125" s="80">
        <f t="shared" si="48"/>
        <v>0</v>
      </c>
      <c r="U125" s="80" t="str">
        <f t="shared" si="49"/>
        <v xml:space="preserve"> 000</v>
      </c>
      <c r="V125" s="80" t="str">
        <f t="shared" si="50"/>
        <v xml:space="preserve"> 004</v>
      </c>
      <c r="W125" s="80" t="str">
        <f t="shared" si="51"/>
        <v xml:space="preserve"> 015</v>
      </c>
    </row>
  </sheetData>
  <sortState xmlns:xlrd2="http://schemas.microsoft.com/office/spreadsheetml/2017/richdata2" ref="A48:Z69">
    <sortCondition descending="1" ref="D48:D69"/>
  </sortState>
  <mergeCells count="3">
    <mergeCell ref="J1:K1"/>
    <mergeCell ref="A1:C1"/>
    <mergeCell ref="L1:M1"/>
  </mergeCells>
  <phoneticPr fontId="3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A2285-2C32-EF40-BA25-EEA3B8C3B819}">
  <sheetPr codeName="Sheet7"/>
  <dimension ref="A1:R47"/>
  <sheetViews>
    <sheetView zoomScaleNormal="100" workbookViewId="0">
      <selection activeCell="G3" sqref="G3"/>
    </sheetView>
  </sheetViews>
  <sheetFormatPr baseColWidth="10" defaultColWidth="11" defaultRowHeight="16" x14ac:dyDescent="0.2"/>
  <cols>
    <col min="1" max="1" width="6.5" bestFit="1" customWidth="1"/>
    <col min="2" max="3" width="17.6640625" bestFit="1" customWidth="1"/>
    <col min="4" max="4" width="18.6640625" bestFit="1" customWidth="1"/>
    <col min="5" max="5" width="20.83203125" bestFit="1" customWidth="1"/>
    <col min="6" max="6" width="9.5" bestFit="1" customWidth="1"/>
    <col min="7" max="7" width="10.6640625" bestFit="1" customWidth="1"/>
    <col min="8" max="8" width="22.33203125" bestFit="1" customWidth="1"/>
    <col min="9" max="9" width="22.33203125" customWidth="1"/>
    <col min="10" max="12" width="12.1640625" customWidth="1"/>
    <col min="15" max="15" width="10.83203125" style="25"/>
  </cols>
  <sheetData>
    <row r="1" spans="1:18" x14ac:dyDescent="0.2">
      <c r="A1" s="45" t="s">
        <v>48</v>
      </c>
      <c r="B1" s="45" t="s">
        <v>22</v>
      </c>
      <c r="C1" s="52" t="s">
        <v>2</v>
      </c>
      <c r="D1" s="62" t="s">
        <v>4</v>
      </c>
      <c r="E1" s="45" t="s">
        <v>28</v>
      </c>
      <c r="F1" s="63" t="s">
        <v>34</v>
      </c>
      <c r="G1" s="50" t="s">
        <v>40</v>
      </c>
      <c r="H1" s="50" t="s">
        <v>39</v>
      </c>
      <c r="I1" s="50" t="s">
        <v>155</v>
      </c>
      <c r="J1" s="344" t="s">
        <v>44</v>
      </c>
      <c r="K1" s="52" t="s">
        <v>49</v>
      </c>
      <c r="L1" s="62" t="s">
        <v>50</v>
      </c>
      <c r="M1" s="62" t="s">
        <v>64</v>
      </c>
      <c r="N1" s="143" t="s">
        <v>28</v>
      </c>
      <c r="O1" s="152" t="s">
        <v>53</v>
      </c>
      <c r="P1" s="62" t="s">
        <v>54</v>
      </c>
      <c r="Q1" s="45" t="s">
        <v>112</v>
      </c>
    </row>
    <row r="2" spans="1:18" x14ac:dyDescent="0.2">
      <c r="A2" s="46" t="s">
        <v>15</v>
      </c>
      <c r="B2" s="46" t="s">
        <v>2</v>
      </c>
      <c r="C2" s="53">
        <v>0</v>
      </c>
      <c r="D2" s="48">
        <v>0</v>
      </c>
      <c r="E2" s="46">
        <v>0</v>
      </c>
      <c r="F2" s="64" t="s">
        <v>0</v>
      </c>
      <c r="G2" s="51" t="s">
        <v>51</v>
      </c>
      <c r="H2" s="51" t="s">
        <v>51</v>
      </c>
      <c r="I2" s="51" t="s">
        <v>51</v>
      </c>
      <c r="J2" s="345" t="s">
        <v>51</v>
      </c>
      <c r="K2" s="53">
        <v>1</v>
      </c>
      <c r="L2" s="48">
        <v>1</v>
      </c>
      <c r="M2" s="48">
        <v>1</v>
      </c>
      <c r="N2" s="118">
        <v>12</v>
      </c>
      <c r="O2" s="277">
        <v>8.1267366616946113E-3</v>
      </c>
      <c r="P2" s="394">
        <v>8.33</v>
      </c>
      <c r="Q2" s="394">
        <v>10</v>
      </c>
      <c r="R2" s="209"/>
    </row>
    <row r="3" spans="1:18" x14ac:dyDescent="0.2">
      <c r="A3" s="47" t="s">
        <v>16</v>
      </c>
      <c r="B3" s="47" t="s">
        <v>4</v>
      </c>
      <c r="C3" s="53">
        <v>16</v>
      </c>
      <c r="D3" s="48">
        <v>4</v>
      </c>
      <c r="E3" s="46">
        <v>1</v>
      </c>
      <c r="F3" s="64" t="s">
        <v>1</v>
      </c>
      <c r="G3" s="56" t="str">
        <f>Phones!C88</f>
        <v>VP59</v>
      </c>
      <c r="H3" s="56" t="str">
        <f>Phones!C3</f>
        <v>D785</v>
      </c>
      <c r="I3" s="56" t="str">
        <f>Phones!C48</f>
        <v>X210i</v>
      </c>
      <c r="J3" s="345" t="s">
        <v>155</v>
      </c>
      <c r="K3" s="218">
        <v>12</v>
      </c>
      <c r="L3" s="48">
        <v>12</v>
      </c>
      <c r="M3" s="48">
        <v>12</v>
      </c>
      <c r="N3" s="118">
        <v>24</v>
      </c>
      <c r="O3" s="277">
        <v>5.8106552987937654E-3</v>
      </c>
      <c r="P3" s="394"/>
      <c r="Q3" s="394"/>
    </row>
    <row r="4" spans="1:18" x14ac:dyDescent="0.2">
      <c r="C4" s="48">
        <v>32</v>
      </c>
      <c r="D4" s="48">
        <v>8</v>
      </c>
      <c r="E4" s="46">
        <v>2</v>
      </c>
      <c r="F4" s="65" t="s">
        <v>268</v>
      </c>
      <c r="G4" s="56" t="str">
        <f>Phones!C89</f>
        <v>T58A</v>
      </c>
      <c r="H4" s="56" t="str">
        <f>Phones!C4</f>
        <v>D785-W</v>
      </c>
      <c r="I4" s="56" t="str">
        <f>Phones!C49</f>
        <v>C600</v>
      </c>
      <c r="J4" s="345" t="s">
        <v>39</v>
      </c>
      <c r="K4" s="44"/>
      <c r="L4" s="49">
        <v>24</v>
      </c>
      <c r="M4" s="48">
        <v>24</v>
      </c>
      <c r="N4" s="118">
        <v>1</v>
      </c>
      <c r="O4" s="278">
        <v>0</v>
      </c>
      <c r="P4" s="394"/>
      <c r="Q4" s="394"/>
    </row>
    <row r="5" spans="1:18" x14ac:dyDescent="0.2">
      <c r="C5" s="48">
        <v>64</v>
      </c>
      <c r="D5" s="48">
        <v>16</v>
      </c>
      <c r="E5" s="46">
        <v>3</v>
      </c>
      <c r="G5" s="56" t="str">
        <f>Phones!C90</f>
        <v>T57W</v>
      </c>
      <c r="H5" s="56" t="str">
        <f>Phones!C5</f>
        <v>D765</v>
      </c>
      <c r="I5" s="56" t="str">
        <f>Phones!C50</f>
        <v>X210</v>
      </c>
      <c r="J5" s="345" t="s">
        <v>40</v>
      </c>
      <c r="K5" s="44"/>
      <c r="L5" s="44"/>
      <c r="M5" s="150">
        <v>36</v>
      </c>
      <c r="N5" s="114">
        <v>36</v>
      </c>
      <c r="O5" s="277">
        <v>5.8106552987937654E-3</v>
      </c>
      <c r="P5" s="394"/>
      <c r="Q5" s="394"/>
    </row>
    <row r="6" spans="1:18" x14ac:dyDescent="0.2">
      <c r="C6" s="48">
        <v>128</v>
      </c>
      <c r="D6" s="48">
        <v>24</v>
      </c>
      <c r="E6" s="46">
        <v>4</v>
      </c>
      <c r="G6" s="56" t="str">
        <f>Phones!C91</f>
        <v>T48S</v>
      </c>
      <c r="H6" s="56" t="str">
        <f>Phones!C6</f>
        <v>D385</v>
      </c>
      <c r="I6" s="56" t="str">
        <f>Phones!C51</f>
        <v>X7A</v>
      </c>
      <c r="J6" s="346" t="s">
        <v>260</v>
      </c>
      <c r="K6" s="44"/>
      <c r="L6" s="44"/>
      <c r="M6" s="150">
        <v>48</v>
      </c>
      <c r="N6" s="114">
        <v>48</v>
      </c>
      <c r="O6" s="277">
        <v>5.8106552987937654E-3</v>
      </c>
      <c r="P6" s="394"/>
      <c r="Q6" s="394"/>
    </row>
    <row r="7" spans="1:18" ht="17" thickBot="1" x14ac:dyDescent="0.25">
      <c r="C7" s="48">
        <v>256</v>
      </c>
      <c r="D7" s="48">
        <v>32</v>
      </c>
      <c r="E7" s="46">
        <v>5</v>
      </c>
      <c r="G7" s="56" t="str">
        <f>Phones!C92</f>
        <v>T54W</v>
      </c>
      <c r="H7" s="56" t="str">
        <f>Phones!C7</f>
        <v>D375</v>
      </c>
      <c r="I7" s="56" t="str">
        <f>Phones!C52</f>
        <v>X7</v>
      </c>
      <c r="J7" s="347" t="s">
        <v>275</v>
      </c>
      <c r="K7" s="44"/>
      <c r="L7" s="44"/>
      <c r="M7" s="151">
        <v>60</v>
      </c>
      <c r="N7" s="153">
        <v>60</v>
      </c>
      <c r="O7" s="279">
        <v>5.8106552987937654E-3</v>
      </c>
      <c r="P7" s="395"/>
      <c r="Q7" s="395"/>
    </row>
    <row r="8" spans="1:18" x14ac:dyDescent="0.2">
      <c r="C8" s="48">
        <v>512</v>
      </c>
      <c r="D8" s="48">
        <v>48</v>
      </c>
      <c r="E8" s="61">
        <v>6</v>
      </c>
      <c r="G8" s="56" t="str">
        <f>Phones!C93</f>
        <v>W41P</v>
      </c>
      <c r="H8" s="56" t="str">
        <f>Phones!C8</f>
        <v>D745</v>
      </c>
      <c r="I8" s="56" t="str">
        <f>Phones!C53</f>
        <v>X7C</v>
      </c>
    </row>
    <row r="9" spans="1:18" x14ac:dyDescent="0.2">
      <c r="C9" s="49">
        <v>1024</v>
      </c>
      <c r="D9" s="48">
        <v>64</v>
      </c>
      <c r="E9" s="61">
        <v>7</v>
      </c>
      <c r="G9" s="56" t="str">
        <f>Phones!C94</f>
        <v>T46S</v>
      </c>
      <c r="H9" s="56" t="str">
        <f>Phones!C9</f>
        <v>D345</v>
      </c>
      <c r="I9" s="56" t="str">
        <f>Phones!C54</f>
        <v>X6U</v>
      </c>
      <c r="O9"/>
    </row>
    <row r="10" spans="1:18" x14ac:dyDescent="0.2">
      <c r="C10" s="44"/>
      <c r="D10" s="48">
        <v>96</v>
      </c>
      <c r="E10" s="61">
        <v>8</v>
      </c>
      <c r="G10" s="56" t="str">
        <f>Phones!C95</f>
        <v>T53W</v>
      </c>
      <c r="H10" s="56" t="str">
        <f>Phones!C10</f>
        <v>D725</v>
      </c>
      <c r="I10" s="56" t="str">
        <f>Phones!C55</f>
        <v>X6</v>
      </c>
    </row>
    <row r="11" spans="1:18" x14ac:dyDescent="0.2">
      <c r="C11" s="44"/>
      <c r="D11" s="48">
        <v>128</v>
      </c>
      <c r="E11" s="61">
        <v>9</v>
      </c>
      <c r="G11" s="56" t="str">
        <f>Phones!C96</f>
        <v>T29G</v>
      </c>
      <c r="H11" s="56" t="str">
        <f>Phones!C11</f>
        <v>D735</v>
      </c>
      <c r="I11" s="56" t="str">
        <f>Phones!C56</f>
        <v>X5U</v>
      </c>
      <c r="J11" s="52" t="s">
        <v>28</v>
      </c>
      <c r="K11" s="67" t="s">
        <v>63</v>
      </c>
      <c r="L11" s="62" t="s">
        <v>209</v>
      </c>
      <c r="M11" s="67" t="s">
        <v>212</v>
      </c>
      <c r="N11" s="67" t="s">
        <v>247</v>
      </c>
    </row>
    <row r="12" spans="1:18" x14ac:dyDescent="0.2">
      <c r="C12" s="44"/>
      <c r="D12" s="48">
        <v>192</v>
      </c>
      <c r="E12" s="66">
        <v>10</v>
      </c>
      <c r="G12" s="56" t="str">
        <f>Phones!C97</f>
        <v>RT30</v>
      </c>
      <c r="H12" s="56" t="str">
        <f>Phones!C12</f>
        <v>D735-W</v>
      </c>
      <c r="I12" s="56" t="str">
        <f>Phones!C57</f>
        <v>X5S</v>
      </c>
      <c r="J12" s="219">
        <f>E3</f>
        <v>1</v>
      </c>
      <c r="K12" s="68">
        <v>4</v>
      </c>
      <c r="L12" s="48">
        <v>0</v>
      </c>
      <c r="M12" s="273">
        <v>0</v>
      </c>
      <c r="N12" s="293">
        <v>0</v>
      </c>
    </row>
    <row r="13" spans="1:18" x14ac:dyDescent="0.2">
      <c r="C13" s="44"/>
      <c r="D13" s="46">
        <v>256</v>
      </c>
      <c r="G13" s="56" t="str">
        <f>Phones!C98</f>
        <v>W60P</v>
      </c>
      <c r="H13" s="56" t="str">
        <f>Phones!C13</f>
        <v>D335</v>
      </c>
      <c r="I13" s="56" t="str">
        <f>Phones!C58</f>
        <v>X4U</v>
      </c>
      <c r="J13" s="219">
        <f t="shared" ref="J13:J21" si="0">E4</f>
        <v>2</v>
      </c>
      <c r="K13" s="68">
        <v>5</v>
      </c>
      <c r="L13" s="48">
        <v>5</v>
      </c>
      <c r="M13" s="273">
        <v>50</v>
      </c>
      <c r="N13" s="293">
        <v>0</v>
      </c>
    </row>
    <row r="14" spans="1:18" x14ac:dyDescent="0.2">
      <c r="C14" s="44"/>
      <c r="D14" s="46">
        <v>512</v>
      </c>
      <c r="G14" s="56" t="str">
        <f>Phones!C99</f>
        <v>T53</v>
      </c>
      <c r="H14" s="56" t="str">
        <f>Phones!C14</f>
        <v>D3</v>
      </c>
      <c r="I14" s="56" t="str">
        <f>Phones!C59</f>
        <v>H5</v>
      </c>
      <c r="J14" s="219">
        <f t="shared" si="0"/>
        <v>3</v>
      </c>
      <c r="K14" s="68">
        <v>6</v>
      </c>
      <c r="L14" s="48">
        <v>10</v>
      </c>
      <c r="M14" s="273">
        <v>100</v>
      </c>
      <c r="N14" s="293">
        <v>0</v>
      </c>
    </row>
    <row r="15" spans="1:18" x14ac:dyDescent="0.2">
      <c r="C15" s="44"/>
      <c r="D15" s="47">
        <v>1024</v>
      </c>
      <c r="G15" s="56" t="str">
        <f>Phones!C100</f>
        <v>T42S</v>
      </c>
      <c r="H15" s="56" t="str">
        <f>Phones!C15</f>
        <v>D7</v>
      </c>
      <c r="I15" s="56" t="str">
        <f>Phones!C60</f>
        <v>X4G</v>
      </c>
      <c r="J15" s="219">
        <f t="shared" si="0"/>
        <v>4</v>
      </c>
      <c r="K15" s="68">
        <v>7</v>
      </c>
      <c r="L15" s="48">
        <v>15</v>
      </c>
      <c r="M15" s="273">
        <v>150</v>
      </c>
      <c r="N15" s="293">
        <v>0</v>
      </c>
    </row>
    <row r="16" spans="1:18" x14ac:dyDescent="0.2">
      <c r="G16" s="56" t="str">
        <f>Phones!C101</f>
        <v>W53P</v>
      </c>
      <c r="H16" s="56" t="str">
        <f>Phones!C16</f>
        <v>D7-W</v>
      </c>
      <c r="I16" s="56" t="str">
        <f>Phones!C61</f>
        <v>H3</v>
      </c>
      <c r="J16" s="219">
        <f t="shared" si="0"/>
        <v>5</v>
      </c>
      <c r="K16" s="68">
        <v>8</v>
      </c>
      <c r="L16" s="48">
        <v>20</v>
      </c>
      <c r="M16" s="273">
        <v>200</v>
      </c>
      <c r="N16" s="293">
        <v>0.5</v>
      </c>
    </row>
    <row r="17" spans="1:14" x14ac:dyDescent="0.2">
      <c r="G17" s="56" t="str">
        <f>Phones!C102</f>
        <v>EXP50</v>
      </c>
      <c r="H17" s="56" t="str">
        <f>Phones!C17</f>
        <v>D715</v>
      </c>
      <c r="I17" s="56" t="str">
        <f>Phones!C62</f>
        <v>X3U</v>
      </c>
      <c r="J17" s="219">
        <f t="shared" si="0"/>
        <v>6</v>
      </c>
      <c r="K17" s="68">
        <v>9</v>
      </c>
      <c r="L17" s="48">
        <v>25</v>
      </c>
      <c r="M17" s="273">
        <v>250</v>
      </c>
      <c r="N17" s="293">
        <v>1</v>
      </c>
    </row>
    <row r="18" spans="1:14" x14ac:dyDescent="0.2">
      <c r="G18" s="56" t="str">
        <f>Phones!C103</f>
        <v>T27G</v>
      </c>
      <c r="H18" s="56" t="str">
        <f>Phones!C18</f>
        <v>D715-W</v>
      </c>
      <c r="I18" s="56" t="str">
        <f>Phones!C63</f>
        <v>X3SG</v>
      </c>
      <c r="J18" s="219">
        <f t="shared" si="0"/>
        <v>7</v>
      </c>
      <c r="K18" s="68">
        <v>10</v>
      </c>
      <c r="L18" s="48">
        <v>30</v>
      </c>
      <c r="M18" s="273">
        <v>300</v>
      </c>
      <c r="N18" s="293">
        <v>1.5</v>
      </c>
    </row>
    <row r="19" spans="1:14" x14ac:dyDescent="0.2">
      <c r="G19" s="56" t="str">
        <f>Phones!C104</f>
        <v>EXP40</v>
      </c>
      <c r="H19" s="56" t="str">
        <f>Phones!C19</f>
        <v>D717</v>
      </c>
      <c r="I19" s="56" t="str">
        <f>Phones!C64</f>
        <v>HT202</v>
      </c>
      <c r="J19" s="219">
        <f t="shared" si="0"/>
        <v>8</v>
      </c>
      <c r="K19" s="68">
        <v>11</v>
      </c>
      <c r="L19" s="48">
        <v>35</v>
      </c>
      <c r="M19" s="273">
        <v>350</v>
      </c>
      <c r="N19" s="293">
        <v>2</v>
      </c>
    </row>
    <row r="20" spans="1:14" x14ac:dyDescent="0.2">
      <c r="G20" s="56" t="str">
        <f>Phones!C105</f>
        <v>T41S</v>
      </c>
      <c r="H20" s="56" t="str">
        <f>Phones!C20</f>
        <v>D717-W</v>
      </c>
      <c r="I20" s="56" t="str">
        <f>Phones!C65</f>
        <v>X2P</v>
      </c>
      <c r="J20" s="219">
        <f t="shared" si="0"/>
        <v>9</v>
      </c>
      <c r="K20" s="68">
        <v>12</v>
      </c>
      <c r="L20" s="48">
        <v>40</v>
      </c>
      <c r="M20" s="273">
        <v>400</v>
      </c>
      <c r="N20" s="293">
        <v>2.5</v>
      </c>
    </row>
    <row r="21" spans="1:14" x14ac:dyDescent="0.2">
      <c r="G21" s="56" t="str">
        <f>Phones!C106</f>
        <v>EXP20</v>
      </c>
      <c r="H21" s="56" t="str">
        <f>Phones!C21</f>
        <v>D315</v>
      </c>
      <c r="I21" s="56" t="str">
        <f>Phones!C66</f>
        <v>H2S</v>
      </c>
      <c r="J21" s="220">
        <f t="shared" si="0"/>
        <v>10</v>
      </c>
      <c r="K21" s="69">
        <v>13</v>
      </c>
      <c r="L21" s="48">
        <v>45</v>
      </c>
      <c r="M21" s="273">
        <v>450</v>
      </c>
      <c r="N21" s="293">
        <v>3</v>
      </c>
    </row>
    <row r="22" spans="1:14" x14ac:dyDescent="0.2">
      <c r="G22" s="56" t="str">
        <f>Phones!C107</f>
        <v>W56H</v>
      </c>
      <c r="H22" s="56" t="str">
        <f>Phones!C22</f>
        <v>D712</v>
      </c>
      <c r="I22" s="56" t="str">
        <f>Phones!C67</f>
        <v>X3S</v>
      </c>
      <c r="L22" s="49">
        <v>50</v>
      </c>
      <c r="M22" s="274">
        <v>500</v>
      </c>
      <c r="N22" s="294">
        <v>3.5</v>
      </c>
    </row>
    <row r="23" spans="1:14" x14ac:dyDescent="0.2">
      <c r="G23" s="56" t="str">
        <f>Phones!C108</f>
        <v>T23G</v>
      </c>
      <c r="H23" s="56" t="str">
        <f>Phones!C23</f>
        <v>D305</v>
      </c>
      <c r="I23" s="56" t="str">
        <f>Phones!C68</f>
        <v>X3SP</v>
      </c>
    </row>
    <row r="24" spans="1:14" x14ac:dyDescent="0.2">
      <c r="A24" s="54"/>
      <c r="B24" s="22" t="s">
        <v>35</v>
      </c>
      <c r="C24" s="22" t="s">
        <v>36</v>
      </c>
      <c r="D24" s="52" t="s">
        <v>37</v>
      </c>
      <c r="E24" s="21" t="s">
        <v>38</v>
      </c>
      <c r="G24" s="56" t="str">
        <f>Phones!C109</f>
        <v>T40G</v>
      </c>
      <c r="H24" s="56" t="str">
        <f>Phones!C24</f>
        <v>D120</v>
      </c>
      <c r="I24" s="56" t="str">
        <f>Phones!C69</f>
        <v>X1P</v>
      </c>
      <c r="J24" s="22" t="s">
        <v>245</v>
      </c>
      <c r="K24" s="21" t="s">
        <v>26</v>
      </c>
    </row>
    <row r="25" spans="1:14" x14ac:dyDescent="0.2">
      <c r="A25" s="55" t="s">
        <v>27</v>
      </c>
      <c r="B25" s="23" t="str">
        <f>travail!I3&amp;"-"&amp;travail!I2&amp;"-"&amp;travail!I4</f>
        <v>Annual-Entreprise-4</v>
      </c>
      <c r="C25" s="23" t="str">
        <f>travail!N3&amp;"-"&amp;travail!N2&amp;"-"&amp;travail!N4</f>
        <v>Annual-Entreprise-8</v>
      </c>
      <c r="D25" s="23" t="str">
        <f>travail!O3&amp;"-"&amp;travail!O2&amp;"-"&amp;travail!O4</f>
        <v>Annual-Entreprise-16</v>
      </c>
      <c r="E25" s="24" t="str">
        <f>travail!P3&amp;"-"&amp;travail!P2&amp;"-"&amp;travail!P4</f>
        <v>Perpetual-Entreprise-16</v>
      </c>
      <c r="G25" s="56" t="str">
        <f>Phones!C110</f>
        <v>W53H</v>
      </c>
      <c r="H25" s="56" t="str">
        <f>Phones!C25</f>
        <v>M85</v>
      </c>
      <c r="I25" s="56" t="str">
        <f>Phones!C70</f>
        <v>HT201</v>
      </c>
      <c r="J25" s="115">
        <v>0</v>
      </c>
      <c r="K25" s="273">
        <v>4</v>
      </c>
    </row>
    <row r="26" spans="1:14" x14ac:dyDescent="0.2">
      <c r="G26" s="56" t="str">
        <f>Phones!C111</f>
        <v>T21P-E2</v>
      </c>
      <c r="H26" s="56" t="str">
        <f>Phones!C26</f>
        <v>M90</v>
      </c>
      <c r="I26" s="56" t="str">
        <f>Phones!C71</f>
        <v>BT20</v>
      </c>
      <c r="J26" s="115">
        <v>100</v>
      </c>
      <c r="K26" s="273">
        <v>5</v>
      </c>
    </row>
    <row r="27" spans="1:14" x14ac:dyDescent="0.2">
      <c r="G27" s="56" t="str">
        <f>Phones!C112</f>
        <v>T19P-E2</v>
      </c>
      <c r="H27" s="56" t="str">
        <f>Phones!C27</f>
        <v>M700</v>
      </c>
      <c r="I27" s="56" t="str">
        <f>Phones!C72</f>
        <v>EHS20</v>
      </c>
      <c r="J27" s="115">
        <v>150</v>
      </c>
      <c r="K27" s="273">
        <v>6</v>
      </c>
    </row>
    <row r="28" spans="1:14" x14ac:dyDescent="0.2">
      <c r="G28" s="56" t="str">
        <f>Phones!C113</f>
        <v>CP960WM</v>
      </c>
      <c r="H28" s="56" t="str">
        <f>Phones!C28</f>
        <v>M80</v>
      </c>
      <c r="I28" s="56" t="str">
        <f>Phones!C73</f>
        <v>PSU-12</v>
      </c>
      <c r="J28" s="115">
        <v>200</v>
      </c>
      <c r="K28" s="273">
        <v>7</v>
      </c>
    </row>
    <row r="29" spans="1:14" x14ac:dyDescent="0.2">
      <c r="G29" s="56" t="str">
        <f>Phones!C114</f>
        <v>CP960</v>
      </c>
      <c r="H29" s="56" t="str">
        <f>Phones!C29</f>
        <v>M325</v>
      </c>
      <c r="I29" s="56" t="str">
        <f>Phones!C74</f>
        <v>PSU-5</v>
      </c>
      <c r="J29" s="115">
        <v>250</v>
      </c>
      <c r="K29" s="273">
        <v>8</v>
      </c>
    </row>
    <row r="30" spans="1:14" x14ac:dyDescent="0.2">
      <c r="G30" s="56" t="str">
        <f>Phones!C115</f>
        <v>CP930W</v>
      </c>
      <c r="H30" s="56" t="str">
        <f>Phones!C30</f>
        <v>M70</v>
      </c>
      <c r="I30" s="56" t="str">
        <f>Phones!C75</f>
        <v>i33V</v>
      </c>
      <c r="J30" s="115">
        <v>300</v>
      </c>
      <c r="K30" s="273">
        <v>9</v>
      </c>
    </row>
    <row r="31" spans="1:14" x14ac:dyDescent="0.2">
      <c r="G31" s="56" t="str">
        <f>Phones!C116</f>
        <v>CP920</v>
      </c>
      <c r="H31" s="56" t="str">
        <f>Phones!C31</f>
        <v>M65</v>
      </c>
      <c r="I31" s="56" t="str">
        <f>Phones!C76</f>
        <v>I31S</v>
      </c>
      <c r="J31" s="115">
        <v>350</v>
      </c>
      <c r="K31" s="273">
        <v>10</v>
      </c>
    </row>
    <row r="32" spans="1:14" x14ac:dyDescent="0.2">
      <c r="B32" s="396" t="s">
        <v>218</v>
      </c>
      <c r="C32" s="397"/>
      <c r="D32" s="292">
        <v>75</v>
      </c>
      <c r="G32" s="56" t="str">
        <f>Phones!C117</f>
        <v>EHS36</v>
      </c>
      <c r="H32" s="56" t="str">
        <f>Phones!C32</f>
        <v>M300</v>
      </c>
      <c r="I32" s="56" t="str">
        <f>Phones!C77</f>
        <v>I18-video</v>
      </c>
      <c r="J32" s="348">
        <v>400</v>
      </c>
      <c r="K32" s="274">
        <v>11</v>
      </c>
    </row>
    <row r="33" spans="2:11" x14ac:dyDescent="0.2">
      <c r="B33" s="390" t="s">
        <v>220</v>
      </c>
      <c r="C33" s="391"/>
      <c r="D33" s="293">
        <v>125</v>
      </c>
      <c r="G33" s="56" t="str">
        <f>Phones!C118</f>
        <v>YHS33</v>
      </c>
      <c r="H33" s="56" t="str">
        <f>Phones!C33</f>
        <v>M5</v>
      </c>
      <c r="I33" s="56" t="str">
        <f>Phones!C78</f>
        <v>i23S</v>
      </c>
    </row>
    <row r="34" spans="2:11" x14ac:dyDescent="0.2">
      <c r="B34" s="390" t="s">
        <v>219</v>
      </c>
      <c r="C34" s="391"/>
      <c r="D34" s="293">
        <v>75</v>
      </c>
      <c r="G34" s="56" t="str">
        <f>Phones!C119</f>
        <v>YLPOE30</v>
      </c>
      <c r="H34" s="56" t="str">
        <f>Phones!C34</f>
        <v>M215-SC</v>
      </c>
      <c r="I34" s="56" t="str">
        <f>Phones!C79</f>
        <v>I30-video</v>
      </c>
    </row>
    <row r="35" spans="2:11" x14ac:dyDescent="0.2">
      <c r="B35" s="390"/>
      <c r="C35" s="391"/>
      <c r="D35" s="293">
        <v>0</v>
      </c>
      <c r="G35" s="56" t="str">
        <f>Phones!C120</f>
        <v>PS-T2</v>
      </c>
      <c r="H35" s="56" t="str">
        <f>Phones!C35</f>
        <v>M25</v>
      </c>
      <c r="I35" s="56" t="str">
        <f>Phones!C80</f>
        <v>i32V</v>
      </c>
      <c r="K35" s="50" t="s">
        <v>260</v>
      </c>
    </row>
    <row r="36" spans="2:11" x14ac:dyDescent="0.2">
      <c r="B36" s="390"/>
      <c r="C36" s="391"/>
      <c r="D36" s="293">
        <v>0</v>
      </c>
      <c r="G36" s="56" t="str">
        <f>Phones!C121</f>
        <v>PS-T4</v>
      </c>
      <c r="H36" s="56" t="str">
        <f>Phones!C36</f>
        <v>M15-SC</v>
      </c>
      <c r="I36" s="56" t="str">
        <f>Phones!C81</f>
        <v>I16V</v>
      </c>
      <c r="K36" s="51" t="s">
        <v>51</v>
      </c>
    </row>
    <row r="37" spans="2:11" x14ac:dyDescent="0.2">
      <c r="B37" s="390" t="s">
        <v>221</v>
      </c>
      <c r="C37" s="391"/>
      <c r="D37" s="293">
        <v>75</v>
      </c>
      <c r="G37" s="56" t="str">
        <f>Phones!C122</f>
        <v>HT801</v>
      </c>
      <c r="H37" s="56" t="str">
        <f>Phones!C37</f>
        <v>C520</v>
      </c>
      <c r="I37" s="56" t="str">
        <f>Phones!C82</f>
        <v>I12-2button</v>
      </c>
      <c r="K37" s="56" t="str">
        <f>Phones!C122</f>
        <v>HT801</v>
      </c>
    </row>
    <row r="38" spans="2:11" x14ac:dyDescent="0.2">
      <c r="B38" s="392" t="s">
        <v>222</v>
      </c>
      <c r="C38" s="393"/>
      <c r="D38" s="294">
        <v>125</v>
      </c>
      <c r="G38" s="56" t="str">
        <f>Phones!C123</f>
        <v>HT802</v>
      </c>
      <c r="H38" s="56" t="str">
        <f>Phones!C38</f>
        <v>C520-MIC</v>
      </c>
      <c r="I38" s="56" t="str">
        <f>Phones!C83</f>
        <v>I20S</v>
      </c>
      <c r="K38" s="57" t="str">
        <f>Phones!C123</f>
        <v>HT802</v>
      </c>
    </row>
    <row r="39" spans="2:11" x14ac:dyDescent="0.2">
      <c r="G39" s="56" t="str">
        <f>Phones!C124</f>
        <v>CS520</v>
      </c>
      <c r="H39" s="56" t="str">
        <f>Phones!C39</f>
        <v>C52-SP</v>
      </c>
      <c r="I39" s="56" t="str">
        <f>Phones!C84</f>
        <v>I12</v>
      </c>
    </row>
    <row r="40" spans="2:11" x14ac:dyDescent="0.2">
      <c r="H40" s="56" t="str">
        <f>Phones!C40</f>
        <v>A170-CONV</v>
      </c>
      <c r="I40" s="56" t="str">
        <f>Phones!C85</f>
        <v>I10V</v>
      </c>
    </row>
    <row r="41" spans="2:11" x14ac:dyDescent="0.2">
      <c r="H41" s="56" t="str">
        <f>Phones!C41</f>
        <v>A150-OTE</v>
      </c>
      <c r="I41" s="56" t="str">
        <f>Phones!C86</f>
        <v>I10-02P</v>
      </c>
      <c r="K41" s="50" t="s">
        <v>275</v>
      </c>
    </row>
    <row r="42" spans="2:11" x14ac:dyDescent="0.2">
      <c r="H42" s="56" t="str">
        <f>Phones!C42</f>
        <v>A100M</v>
      </c>
      <c r="I42" s="56" t="str">
        <f>Phones!C87</f>
        <v>I10</v>
      </c>
      <c r="K42" s="51" t="s">
        <v>51</v>
      </c>
    </row>
    <row r="43" spans="2:11" x14ac:dyDescent="0.2">
      <c r="H43" s="56" t="str">
        <f>Phones!C43</f>
        <v>A100D</v>
      </c>
      <c r="K43" s="57" t="str">
        <f>Phones!C124</f>
        <v>CS520</v>
      </c>
    </row>
    <row r="44" spans="2:11" x14ac:dyDescent="0.2">
      <c r="H44" s="56" t="str">
        <f>Phones!C44</f>
        <v>A230-DECT-Dongle</v>
      </c>
    </row>
    <row r="45" spans="2:11" x14ac:dyDescent="0.2">
      <c r="H45" s="56" t="str">
        <f>Phones!C45</f>
        <v>A5-PoE-injector</v>
      </c>
    </row>
    <row r="46" spans="2:11" x14ac:dyDescent="0.2">
      <c r="H46" s="56" t="str">
        <f>Phones!C46</f>
        <v>EHS-adapter</v>
      </c>
    </row>
    <row r="47" spans="2:11" x14ac:dyDescent="0.2">
      <c r="H47" s="56" t="str">
        <f>Phones!C47</f>
        <v>PSU(10watt)</v>
      </c>
    </row>
  </sheetData>
  <mergeCells count="9">
    <mergeCell ref="B35:C35"/>
    <mergeCell ref="B36:C36"/>
    <mergeCell ref="B37:C37"/>
    <mergeCell ref="B38:C38"/>
    <mergeCell ref="Q2:Q7"/>
    <mergeCell ref="P2:P7"/>
    <mergeCell ref="B32:C32"/>
    <mergeCell ref="B33:C33"/>
    <mergeCell ref="B34:C34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1637-91D2-7E4B-806E-F89CD4BDDAA4}">
  <sheetPr codeName="Sheet5"/>
  <dimension ref="A1:AC66"/>
  <sheetViews>
    <sheetView zoomScale="125" zoomScaleNormal="125" workbookViewId="0">
      <selection activeCell="O16" sqref="O16"/>
    </sheetView>
  </sheetViews>
  <sheetFormatPr baseColWidth="10" defaultColWidth="10.83203125" defaultRowHeight="16" outlineLevelRow="1" x14ac:dyDescent="0.2"/>
  <cols>
    <col min="1" max="1" width="38.6640625" style="32" customWidth="1"/>
    <col min="2" max="2" width="5.5" style="30" bestFit="1" customWidth="1"/>
    <col min="3" max="3" width="3.33203125" style="101" customWidth="1"/>
    <col min="4" max="6" width="5.83203125" style="30" customWidth="1"/>
    <col min="7" max="7" width="3.33203125" style="30" customWidth="1"/>
    <col min="8" max="8" width="24.1640625" style="30" customWidth="1"/>
    <col min="9" max="9" width="21" style="32" bestFit="1" customWidth="1"/>
    <col min="10" max="10" width="10.83203125" style="32" customWidth="1"/>
    <col min="11" max="11" width="8.5" style="101" customWidth="1"/>
    <col min="12" max="12" width="8.5" style="32" customWidth="1"/>
    <col min="13" max="13" width="9.6640625" style="32" customWidth="1"/>
    <col min="14" max="16" width="12.5" style="32" customWidth="1"/>
    <col min="17" max="18" width="6.6640625" style="32" customWidth="1"/>
    <col min="19" max="19" width="6.6640625" style="1" customWidth="1"/>
    <col min="20" max="20" width="8.6640625" style="32" customWidth="1"/>
    <col min="21" max="21" width="7.5" style="32" customWidth="1"/>
    <col min="22" max="24" width="9.1640625" style="32" customWidth="1"/>
    <col min="25" max="27" width="10.83203125" style="32" customWidth="1"/>
    <col min="28" max="16384" width="10.83203125" style="32"/>
  </cols>
  <sheetData>
    <row r="1" spans="1:29" x14ac:dyDescent="0.2">
      <c r="A1" s="314" t="s">
        <v>45</v>
      </c>
      <c r="B1" s="26" t="s">
        <v>20</v>
      </c>
      <c r="D1" s="27" t="s">
        <v>46</v>
      </c>
      <c r="E1" s="28" t="s">
        <v>18</v>
      </c>
      <c r="F1" s="26" t="s">
        <v>19</v>
      </c>
      <c r="G1" s="29"/>
      <c r="I1" s="29" t="s">
        <v>35</v>
      </c>
      <c r="J1" s="191" t="s">
        <v>109</v>
      </c>
      <c r="K1" s="191" t="s">
        <v>110</v>
      </c>
      <c r="N1" s="29" t="s">
        <v>36</v>
      </c>
      <c r="O1" s="29" t="s">
        <v>37</v>
      </c>
      <c r="P1" s="29" t="s">
        <v>38</v>
      </c>
    </row>
    <row r="2" spans="1:29" x14ac:dyDescent="0.2">
      <c r="A2" s="33" t="s">
        <v>7</v>
      </c>
      <c r="B2" s="312" t="s">
        <v>15</v>
      </c>
      <c r="D2" s="34" t="s">
        <v>8</v>
      </c>
      <c r="E2" s="35">
        <f>IF(B2="non",0,IF(D2="P",1,0))</f>
        <v>0</v>
      </c>
      <c r="F2" s="36">
        <f>IF(B2="non",0,IF(D2="E",1,0))</f>
        <v>1</v>
      </c>
      <c r="G2" s="37"/>
      <c r="H2" s="31" t="s">
        <v>21</v>
      </c>
      <c r="I2" s="37" t="str">
        <f>IF(D20=0,'3cx List'!D1,IF(F20&gt;=1,'3cx List'!L1,'3cx List'!H1))</f>
        <v>Entreprise</v>
      </c>
      <c r="J2" s="192">
        <f>IF(I5=12,I8,0)</f>
        <v>0</v>
      </c>
      <c r="K2" s="192">
        <f>IF(I5=24,I8,0)</f>
        <v>0</v>
      </c>
      <c r="N2" s="59" t="s">
        <v>268</v>
      </c>
      <c r="O2" s="59" t="s">
        <v>268</v>
      </c>
      <c r="P2" s="59" t="s">
        <v>268</v>
      </c>
    </row>
    <row r="3" spans="1:29" x14ac:dyDescent="0.2">
      <c r="A3" s="33" t="s">
        <v>9</v>
      </c>
      <c r="B3" s="312" t="s">
        <v>16</v>
      </c>
      <c r="D3" s="34" t="s">
        <v>8</v>
      </c>
      <c r="E3" s="35">
        <f t="shared" ref="E3:E8" si="0">IF(B3="non",0,IF(D3="P",1,0))</f>
        <v>0</v>
      </c>
      <c r="F3" s="36">
        <f t="shared" ref="F3:F8" si="1">IF(B3="non",0,IF(D3="E",1,0))</f>
        <v>0</v>
      </c>
      <c r="G3" s="37"/>
      <c r="H3" s="31" t="s">
        <v>22</v>
      </c>
      <c r="I3" s="59" t="s">
        <v>4</v>
      </c>
      <c r="J3"/>
      <c r="K3"/>
      <c r="N3" s="59" t="s">
        <v>4</v>
      </c>
      <c r="O3" s="59" t="s">
        <v>4</v>
      </c>
      <c r="P3" s="59" t="s">
        <v>2</v>
      </c>
    </row>
    <row r="4" spans="1:29" ht="17" thickBot="1" x14ac:dyDescent="0.25">
      <c r="A4" s="33" t="s">
        <v>14</v>
      </c>
      <c r="B4" s="312" t="s">
        <v>16</v>
      </c>
      <c r="D4" s="34" t="s">
        <v>10</v>
      </c>
      <c r="E4" s="35">
        <f t="shared" si="0"/>
        <v>0</v>
      </c>
      <c r="F4" s="36">
        <f t="shared" si="1"/>
        <v>0</v>
      </c>
      <c r="G4" s="37"/>
      <c r="H4" s="31" t="s">
        <v>23</v>
      </c>
      <c r="I4" s="37">
        <f>Simu!C6</f>
        <v>4</v>
      </c>
      <c r="N4" s="59">
        <v>8</v>
      </c>
      <c r="O4" s="59">
        <v>16</v>
      </c>
      <c r="P4" s="59">
        <v>16</v>
      </c>
    </row>
    <row r="5" spans="1:29" ht="18" thickTop="1" thickBot="1" x14ac:dyDescent="0.25">
      <c r="A5" s="33" t="s">
        <v>11</v>
      </c>
      <c r="B5" s="312" t="s">
        <v>16</v>
      </c>
      <c r="D5" s="34" t="s">
        <v>10</v>
      </c>
      <c r="E5" s="35">
        <f t="shared" si="0"/>
        <v>0</v>
      </c>
      <c r="F5" s="36">
        <f t="shared" si="1"/>
        <v>0</v>
      </c>
      <c r="G5" s="37"/>
      <c r="H5" s="58" t="s">
        <v>47</v>
      </c>
      <c r="I5" s="235">
        <f>Simu!C7</f>
        <v>1</v>
      </c>
      <c r="N5" s="59">
        <v>1</v>
      </c>
      <c r="O5" s="59">
        <v>1</v>
      </c>
      <c r="P5" s="59">
        <v>1</v>
      </c>
    </row>
    <row r="6" spans="1:29" ht="17" thickTop="1" x14ac:dyDescent="0.2">
      <c r="A6" s="33" t="s">
        <v>17</v>
      </c>
      <c r="B6" s="312" t="s">
        <v>16</v>
      </c>
      <c r="D6" s="34" t="s">
        <v>10</v>
      </c>
      <c r="E6" s="35">
        <f t="shared" si="0"/>
        <v>0</v>
      </c>
      <c r="F6" s="36">
        <f t="shared" si="1"/>
        <v>0</v>
      </c>
      <c r="G6" s="37"/>
      <c r="H6" s="58" t="s">
        <v>28</v>
      </c>
      <c r="I6" s="59">
        <v>1</v>
      </c>
      <c r="N6" s="59">
        <v>1</v>
      </c>
      <c r="O6" s="59">
        <v>10</v>
      </c>
      <c r="P6" s="59">
        <v>10</v>
      </c>
    </row>
    <row r="7" spans="1:29" x14ac:dyDescent="0.2">
      <c r="A7" s="33" t="s">
        <v>12</v>
      </c>
      <c r="B7" s="312" t="s">
        <v>16</v>
      </c>
      <c r="D7" s="34" t="s">
        <v>10</v>
      </c>
      <c r="E7" s="35">
        <f t="shared" si="0"/>
        <v>0</v>
      </c>
      <c r="F7" s="36">
        <f t="shared" si="1"/>
        <v>0</v>
      </c>
      <c r="G7" s="37"/>
      <c r="H7" s="60" t="s">
        <v>56</v>
      </c>
      <c r="I7" s="89">
        <f>VLOOKUP(valeurs!B25,'3cx List'!$P$3:$AB$80,VLOOKUP(I6,PrixIndex,2,FALSE),FALSE)</f>
        <v>266</v>
      </c>
      <c r="N7" s="89">
        <f>VLOOKUP(valeurs!C25,'3cx List'!$P$3:$AB$80,VLOOKUP(N6,PrixIndex,2,FALSE),FALSE)</f>
        <v>345</v>
      </c>
      <c r="O7" s="89">
        <f>VLOOKUP(valeurs!D25,'3cx List'!$P$3:$AB$80,VLOOKUP(O6,PrixIndex,2,FALSE),FALSE)</f>
        <v>6920</v>
      </c>
      <c r="P7" s="89">
        <f>VLOOKUP(valeurs!E25,'3cx List'!$P$3:$AB$80,VLOOKUP(P6,PrixIndex,2,FALSE),FALSE)</f>
        <v>5906.4362500000007</v>
      </c>
      <c r="R7"/>
      <c r="Y7"/>
    </row>
    <row r="8" spans="1:29" x14ac:dyDescent="0.2">
      <c r="A8" s="33" t="s">
        <v>13</v>
      </c>
      <c r="B8" s="312" t="s">
        <v>16</v>
      </c>
      <c r="D8" s="34" t="s">
        <v>10</v>
      </c>
      <c r="E8" s="35">
        <f t="shared" si="0"/>
        <v>0</v>
      </c>
      <c r="F8" s="36">
        <f t="shared" si="1"/>
        <v>0</v>
      </c>
      <c r="G8" s="37"/>
      <c r="H8" s="60" t="s">
        <v>57</v>
      </c>
      <c r="I8" s="89">
        <f>IF(I7=0,0,PMT(VLOOKUP(I$5,Taux,2,FALSE),I$5,-I7,0,1))</f>
        <v>266</v>
      </c>
      <c r="J8" s="99"/>
      <c r="K8" s="102"/>
      <c r="L8" s="99"/>
      <c r="M8" s="100"/>
      <c r="N8" s="89">
        <f>IF(N7=0,0,PMT(VLOOKUP(N$5,Taux,2,FALSE),N$5,-N7,0,1))</f>
        <v>345</v>
      </c>
      <c r="O8" s="89">
        <f>IF(O7=0,0,PMT(VLOOKUP(O$5,Taux,2,FALSE),O$5,-O7,0,1))</f>
        <v>6920</v>
      </c>
      <c r="P8" s="89">
        <f>IF(P7=0,0,PMT(VLOOKUP(P$5,Taux,2,FALSE),P$5,-P7,0,1))</f>
        <v>5906.4362500000007</v>
      </c>
      <c r="Y8"/>
    </row>
    <row r="9" spans="1:29" x14ac:dyDescent="0.2">
      <c r="A9" s="226"/>
      <c r="B9" s="227" t="s">
        <v>16</v>
      </c>
      <c r="D9" s="34"/>
      <c r="E9" s="35">
        <f t="shared" ref="E9:E19" si="2">IF(B9="non",0,IF(D9="P",1,0))</f>
        <v>0</v>
      </c>
      <c r="F9" s="36">
        <f t="shared" ref="F9:F19" si="3">IF(B9="non",0,IF(D9="E",1,0))</f>
        <v>0</v>
      </c>
      <c r="G9" s="38"/>
      <c r="H9" s="58" t="s">
        <v>215</v>
      </c>
      <c r="I9" s="281" t="str">
        <f>Simu!E41</f>
        <v>non</v>
      </c>
      <c r="N9" s="88">
        <f>(N5*N8)-N7</f>
        <v>0</v>
      </c>
      <c r="O9" s="88">
        <f>(O5*O8)-O7</f>
        <v>0</v>
      </c>
      <c r="P9" s="88">
        <f>(P5*P8)-P7</f>
        <v>0</v>
      </c>
    </row>
    <row r="10" spans="1:29" x14ac:dyDescent="0.2">
      <c r="A10" s="226"/>
      <c r="B10" s="227" t="s">
        <v>16</v>
      </c>
      <c r="D10" s="34"/>
      <c r="E10" s="35">
        <f t="shared" si="2"/>
        <v>0</v>
      </c>
      <c r="F10" s="36">
        <f t="shared" si="3"/>
        <v>0</v>
      </c>
      <c r="O10" s="405">
        <f>SUM(Q12:Q21)</f>
        <v>30</v>
      </c>
      <c r="P10" s="405"/>
      <c r="Q10" s="406"/>
      <c r="R10" s="405">
        <f>SUM(S12:S21)</f>
        <v>175</v>
      </c>
      <c r="S10" s="406"/>
      <c r="T10" s="142">
        <f t="shared" ref="T10:AA10" si="4">SUM(T12:T21)</f>
        <v>970</v>
      </c>
      <c r="U10" s="142">
        <f t="shared" si="4"/>
        <v>0</v>
      </c>
      <c r="V10" s="142">
        <f t="shared" si="4"/>
        <v>0</v>
      </c>
      <c r="W10" s="142">
        <f t="shared" si="4"/>
        <v>0</v>
      </c>
      <c r="X10" s="142">
        <f t="shared" si="4"/>
        <v>0</v>
      </c>
      <c r="Y10" s="180">
        <f t="shared" si="4"/>
        <v>678.3</v>
      </c>
      <c r="Z10" s="180">
        <f t="shared" si="4"/>
        <v>970</v>
      </c>
      <c r="AA10" s="210">
        <f t="shared" si="4"/>
        <v>291.70000000000005</v>
      </c>
      <c r="AB10" s="230">
        <f>SUM(AB12:AB33)</f>
        <v>5</v>
      </c>
      <c r="AC10" s="267">
        <f>SUM(AC12:AC33)</f>
        <v>7</v>
      </c>
    </row>
    <row r="11" spans="1:29" x14ac:dyDescent="0.2">
      <c r="A11" s="226"/>
      <c r="B11" s="227" t="s">
        <v>16</v>
      </c>
      <c r="D11" s="34"/>
      <c r="E11" s="35">
        <f t="shared" si="2"/>
        <v>0</v>
      </c>
      <c r="F11" s="36">
        <f t="shared" si="3"/>
        <v>0</v>
      </c>
      <c r="H11" s="231" t="s">
        <v>41</v>
      </c>
      <c r="I11" s="232" t="s">
        <v>42</v>
      </c>
      <c r="J11" s="28" t="s">
        <v>114</v>
      </c>
      <c r="K11" s="98" t="s">
        <v>25</v>
      </c>
      <c r="L11" s="98" t="s">
        <v>113</v>
      </c>
      <c r="M11" s="98" t="s">
        <v>52</v>
      </c>
      <c r="N11" s="225" t="s">
        <v>55</v>
      </c>
      <c r="O11" s="400" t="s">
        <v>108</v>
      </c>
      <c r="P11" s="409"/>
      <c r="Q11" s="400"/>
      <c r="R11" s="400" t="s">
        <v>107</v>
      </c>
      <c r="S11" s="400"/>
      <c r="T11" s="90" t="s">
        <v>43</v>
      </c>
      <c r="U11" s="90" t="s">
        <v>109</v>
      </c>
      <c r="V11" s="90" t="s">
        <v>110</v>
      </c>
      <c r="W11" s="128" t="s">
        <v>132</v>
      </c>
      <c r="X11" s="128" t="s">
        <v>131</v>
      </c>
      <c r="Y11" s="182" t="s">
        <v>150</v>
      </c>
      <c r="Z11" s="182" t="s">
        <v>153</v>
      </c>
      <c r="AA11" s="211" t="s">
        <v>112</v>
      </c>
      <c r="AB11" s="268" t="s">
        <v>210</v>
      </c>
      <c r="AC11" s="268" t="s">
        <v>209</v>
      </c>
    </row>
    <row r="12" spans="1:29" x14ac:dyDescent="0.2">
      <c r="A12" s="226"/>
      <c r="B12" s="227" t="s">
        <v>16</v>
      </c>
      <c r="D12" s="34"/>
      <c r="E12" s="35">
        <f t="shared" si="2"/>
        <v>0</v>
      </c>
      <c r="F12" s="36">
        <f t="shared" si="3"/>
        <v>0</v>
      </c>
      <c r="H12" s="233" t="str">
        <f>Simu!B10</f>
        <v>Snom</v>
      </c>
      <c r="I12" s="234" t="str">
        <f>Simu!C10</f>
        <v>D385</v>
      </c>
      <c r="J12" s="35">
        <f>Simu!D10</f>
        <v>5</v>
      </c>
      <c r="K12" s="39">
        <f t="shared" ref="K12:K21" si="5">VLOOKUP(I12,PrixTel,2,FALSE)</f>
        <v>194</v>
      </c>
      <c r="L12" s="193">
        <f t="shared" ref="L12:L21" si="6">$I$5</f>
        <v>1</v>
      </c>
      <c r="M12" s="39">
        <f>J12*K12</f>
        <v>970</v>
      </c>
      <c r="N12" s="40">
        <f t="shared" ref="N12:N21" si="7">IF(M12=0,0,PMT(VLOOKUP(L12,Taux,2,FALSE),L12,-M12,0,1))</f>
        <v>970</v>
      </c>
      <c r="O12" s="94">
        <f t="shared" ref="O12:O21" si="8">IF($I$2="Standard",VLOOKUP(I12,PrixTel,8,FALSE),VLOOKUP(I12,PrixTel,5,FALSE)+$M$51)</f>
        <v>6</v>
      </c>
      <c r="P12" s="97">
        <f>O12*12</f>
        <v>72</v>
      </c>
      <c r="Q12" s="87">
        <f t="shared" ref="Q12:Q21" si="9">O12*J12</f>
        <v>30</v>
      </c>
      <c r="R12" s="94">
        <f t="shared" ref="R12:R21" si="10">VLOOKUP(I12,PrixTel,7,FALSE)</f>
        <v>35</v>
      </c>
      <c r="S12" s="87">
        <f t="shared" ref="S12:S21" si="11">R12*J12</f>
        <v>175</v>
      </c>
      <c r="T12" s="91">
        <f t="shared" ref="T12:T21" si="12">IF(L12=1,M12,0)</f>
        <v>970</v>
      </c>
      <c r="U12" s="92">
        <f t="shared" ref="U12:U21" si="13">IF(L12=12,N12,0)</f>
        <v>0</v>
      </c>
      <c r="V12" s="92">
        <f t="shared" ref="V12:V21" si="14">IF(L12=24,N12,0)</f>
        <v>0</v>
      </c>
      <c r="W12" s="147">
        <f t="shared" ref="W12:W21" si="15">IF(L12=12,M12,0)</f>
        <v>0</v>
      </c>
      <c r="X12" s="148">
        <f t="shared" ref="X12:X21" si="16">IF(L12=24,M12,0)</f>
        <v>0</v>
      </c>
      <c r="Y12" s="147">
        <f t="shared" ref="Y12:Y21" si="17">VLOOKUP(I12,PrixTel,4,FALSE)*J12</f>
        <v>678.3</v>
      </c>
      <c r="Z12" s="91">
        <f>J12*K12</f>
        <v>970</v>
      </c>
      <c r="AA12" s="148">
        <f>Z12-Y12</f>
        <v>291.70000000000005</v>
      </c>
      <c r="AB12" s="263">
        <f>J12</f>
        <v>5</v>
      </c>
      <c r="AC12" s="263">
        <f>J12</f>
        <v>5</v>
      </c>
    </row>
    <row r="13" spans="1:29" x14ac:dyDescent="0.2">
      <c r="A13" s="226"/>
      <c r="B13" s="227" t="s">
        <v>16</v>
      </c>
      <c r="D13" s="34"/>
      <c r="E13" s="35">
        <f t="shared" si="2"/>
        <v>0</v>
      </c>
      <c r="F13" s="36">
        <f t="shared" si="3"/>
        <v>0</v>
      </c>
      <c r="H13" s="233" t="str">
        <f>Simu!B11</f>
        <v>-</v>
      </c>
      <c r="I13" s="234" t="str">
        <f>Simu!C11</f>
        <v>-</v>
      </c>
      <c r="J13" s="35">
        <f>Simu!D11</f>
        <v>0</v>
      </c>
      <c r="K13" s="39">
        <f t="shared" si="5"/>
        <v>0</v>
      </c>
      <c r="L13" s="193">
        <f t="shared" si="6"/>
        <v>1</v>
      </c>
      <c r="M13" s="39">
        <f t="shared" ref="M13:M21" si="18">J13*K13</f>
        <v>0</v>
      </c>
      <c r="N13" s="40">
        <f t="shared" si="7"/>
        <v>0</v>
      </c>
      <c r="O13" s="95">
        <f t="shared" si="8"/>
        <v>4</v>
      </c>
      <c r="P13" s="86">
        <f t="shared" ref="P13:P21" si="19">O13*12</f>
        <v>48</v>
      </c>
      <c r="Q13" s="40">
        <f t="shared" si="9"/>
        <v>0</v>
      </c>
      <c r="R13" s="95">
        <f t="shared" si="10"/>
        <v>15</v>
      </c>
      <c r="S13" s="40">
        <f t="shared" si="11"/>
        <v>0</v>
      </c>
      <c r="T13" s="92">
        <f t="shared" si="12"/>
        <v>0</v>
      </c>
      <c r="U13" s="92">
        <f t="shared" si="13"/>
        <v>0</v>
      </c>
      <c r="V13" s="92">
        <f t="shared" si="14"/>
        <v>0</v>
      </c>
      <c r="W13" s="149">
        <f t="shared" si="15"/>
        <v>0</v>
      </c>
      <c r="X13" s="93">
        <f t="shared" si="16"/>
        <v>0</v>
      </c>
      <c r="Y13" s="149">
        <f t="shared" si="17"/>
        <v>0</v>
      </c>
      <c r="Z13" s="92">
        <f t="shared" ref="Z13:Z21" si="20">J13*K13</f>
        <v>0</v>
      </c>
      <c r="AA13" s="93">
        <f t="shared" ref="AA13:AA21" si="21">Z13-Y13</f>
        <v>0</v>
      </c>
      <c r="AB13" s="263">
        <f t="shared" ref="AB13:AB21" si="22">J13</f>
        <v>0</v>
      </c>
      <c r="AC13" s="263">
        <f t="shared" ref="AC13:AC21" si="23">J13</f>
        <v>0</v>
      </c>
    </row>
    <row r="14" spans="1:29" x14ac:dyDescent="0.2">
      <c r="A14" s="226"/>
      <c r="B14" s="227" t="s">
        <v>16</v>
      </c>
      <c r="D14" s="34"/>
      <c r="E14" s="35">
        <f t="shared" si="2"/>
        <v>0</v>
      </c>
      <c r="F14" s="36">
        <f t="shared" si="3"/>
        <v>0</v>
      </c>
      <c r="H14" s="233" t="str">
        <f>Simu!B12</f>
        <v>-</v>
      </c>
      <c r="I14" s="234" t="str">
        <f>Simu!C12</f>
        <v>-</v>
      </c>
      <c r="J14" s="35">
        <f>Simu!D12</f>
        <v>0</v>
      </c>
      <c r="K14" s="39">
        <f t="shared" si="5"/>
        <v>0</v>
      </c>
      <c r="L14" s="193">
        <f t="shared" si="6"/>
        <v>1</v>
      </c>
      <c r="M14" s="39">
        <f t="shared" si="18"/>
        <v>0</v>
      </c>
      <c r="N14" s="40">
        <f t="shared" si="7"/>
        <v>0</v>
      </c>
      <c r="O14" s="95">
        <f t="shared" si="8"/>
        <v>4</v>
      </c>
      <c r="P14" s="86">
        <f t="shared" si="19"/>
        <v>48</v>
      </c>
      <c r="Q14" s="40">
        <f t="shared" si="9"/>
        <v>0</v>
      </c>
      <c r="R14" s="95">
        <f t="shared" si="10"/>
        <v>15</v>
      </c>
      <c r="S14" s="40">
        <f t="shared" si="11"/>
        <v>0</v>
      </c>
      <c r="T14" s="92">
        <f t="shared" si="12"/>
        <v>0</v>
      </c>
      <c r="U14" s="92">
        <f t="shared" si="13"/>
        <v>0</v>
      </c>
      <c r="V14" s="92">
        <f t="shared" si="14"/>
        <v>0</v>
      </c>
      <c r="W14" s="149">
        <f t="shared" si="15"/>
        <v>0</v>
      </c>
      <c r="X14" s="93">
        <f t="shared" si="16"/>
        <v>0</v>
      </c>
      <c r="Y14" s="149">
        <f t="shared" si="17"/>
        <v>0</v>
      </c>
      <c r="Z14" s="92">
        <f t="shared" si="20"/>
        <v>0</v>
      </c>
      <c r="AA14" s="93">
        <f t="shared" si="21"/>
        <v>0</v>
      </c>
      <c r="AB14" s="263">
        <f t="shared" si="22"/>
        <v>0</v>
      </c>
      <c r="AC14" s="263">
        <f t="shared" si="23"/>
        <v>0</v>
      </c>
    </row>
    <row r="15" spans="1:29" x14ac:dyDescent="0.2">
      <c r="A15" s="226"/>
      <c r="B15" s="227" t="s">
        <v>16</v>
      </c>
      <c r="D15" s="34"/>
      <c r="E15" s="35">
        <f t="shared" si="2"/>
        <v>0</v>
      </c>
      <c r="F15" s="36">
        <f t="shared" si="3"/>
        <v>0</v>
      </c>
      <c r="H15" s="233" t="str">
        <f>Simu!B13</f>
        <v>-</v>
      </c>
      <c r="I15" s="234" t="str">
        <f>Simu!C13</f>
        <v>-</v>
      </c>
      <c r="J15" s="35">
        <f>Simu!D13</f>
        <v>0</v>
      </c>
      <c r="K15" s="39">
        <f t="shared" si="5"/>
        <v>0</v>
      </c>
      <c r="L15" s="193">
        <f t="shared" si="6"/>
        <v>1</v>
      </c>
      <c r="M15" s="39">
        <f t="shared" si="18"/>
        <v>0</v>
      </c>
      <c r="N15" s="40">
        <f t="shared" si="7"/>
        <v>0</v>
      </c>
      <c r="O15" s="95">
        <f t="shared" si="8"/>
        <v>4</v>
      </c>
      <c r="P15" s="86">
        <f t="shared" si="19"/>
        <v>48</v>
      </c>
      <c r="Q15" s="40">
        <f t="shared" si="9"/>
        <v>0</v>
      </c>
      <c r="R15" s="95">
        <f t="shared" si="10"/>
        <v>15</v>
      </c>
      <c r="S15" s="40">
        <f t="shared" si="11"/>
        <v>0</v>
      </c>
      <c r="T15" s="92">
        <f t="shared" si="12"/>
        <v>0</v>
      </c>
      <c r="U15" s="92">
        <f t="shared" si="13"/>
        <v>0</v>
      </c>
      <c r="V15" s="92">
        <f t="shared" si="14"/>
        <v>0</v>
      </c>
      <c r="W15" s="149">
        <f t="shared" si="15"/>
        <v>0</v>
      </c>
      <c r="X15" s="93">
        <f t="shared" si="16"/>
        <v>0</v>
      </c>
      <c r="Y15" s="149">
        <f t="shared" si="17"/>
        <v>0</v>
      </c>
      <c r="Z15" s="92">
        <f t="shared" si="20"/>
        <v>0</v>
      </c>
      <c r="AA15" s="93">
        <f t="shared" si="21"/>
        <v>0</v>
      </c>
      <c r="AB15" s="263">
        <f t="shared" si="22"/>
        <v>0</v>
      </c>
      <c r="AC15" s="263">
        <f t="shared" si="23"/>
        <v>0</v>
      </c>
    </row>
    <row r="16" spans="1:29" x14ac:dyDescent="0.2">
      <c r="A16" s="226"/>
      <c r="B16" s="227" t="s">
        <v>16</v>
      </c>
      <c r="D16" s="34"/>
      <c r="E16" s="35">
        <f t="shared" si="2"/>
        <v>0</v>
      </c>
      <c r="F16" s="36">
        <f t="shared" si="3"/>
        <v>0</v>
      </c>
      <c r="H16" s="233" t="str">
        <f>Simu!B14</f>
        <v>-</v>
      </c>
      <c r="I16" s="234" t="str">
        <f>Simu!C14</f>
        <v>-</v>
      </c>
      <c r="J16" s="35">
        <f>Simu!D14</f>
        <v>0</v>
      </c>
      <c r="K16" s="39">
        <f t="shared" si="5"/>
        <v>0</v>
      </c>
      <c r="L16" s="193">
        <f t="shared" si="6"/>
        <v>1</v>
      </c>
      <c r="M16" s="39">
        <f t="shared" si="18"/>
        <v>0</v>
      </c>
      <c r="N16" s="40">
        <f t="shared" si="7"/>
        <v>0</v>
      </c>
      <c r="O16" s="95">
        <f t="shared" si="8"/>
        <v>4</v>
      </c>
      <c r="P16" s="86">
        <f t="shared" si="19"/>
        <v>48</v>
      </c>
      <c r="Q16" s="40">
        <f t="shared" si="9"/>
        <v>0</v>
      </c>
      <c r="R16" s="95">
        <f t="shared" si="10"/>
        <v>15</v>
      </c>
      <c r="S16" s="40">
        <f t="shared" si="11"/>
        <v>0</v>
      </c>
      <c r="T16" s="92">
        <f t="shared" si="12"/>
        <v>0</v>
      </c>
      <c r="U16" s="92">
        <f t="shared" si="13"/>
        <v>0</v>
      </c>
      <c r="V16" s="92">
        <f t="shared" si="14"/>
        <v>0</v>
      </c>
      <c r="W16" s="149">
        <f t="shared" si="15"/>
        <v>0</v>
      </c>
      <c r="X16" s="93">
        <f t="shared" si="16"/>
        <v>0</v>
      </c>
      <c r="Y16" s="149">
        <f t="shared" si="17"/>
        <v>0</v>
      </c>
      <c r="Z16" s="92">
        <f t="shared" si="20"/>
        <v>0</v>
      </c>
      <c r="AA16" s="93">
        <f t="shared" si="21"/>
        <v>0</v>
      </c>
      <c r="AB16" s="263">
        <f t="shared" si="22"/>
        <v>0</v>
      </c>
      <c r="AC16" s="263">
        <f t="shared" si="23"/>
        <v>0</v>
      </c>
    </row>
    <row r="17" spans="1:29" x14ac:dyDescent="0.2">
      <c r="A17" s="226"/>
      <c r="B17" s="227" t="s">
        <v>16</v>
      </c>
      <c r="D17" s="34"/>
      <c r="E17" s="35">
        <f t="shared" si="2"/>
        <v>0</v>
      </c>
      <c r="F17" s="36">
        <f t="shared" si="3"/>
        <v>0</v>
      </c>
      <c r="H17" s="233" t="str">
        <f>Simu!B15</f>
        <v>-</v>
      </c>
      <c r="I17" s="234" t="str">
        <f>Simu!C15</f>
        <v>-</v>
      </c>
      <c r="J17" s="35">
        <f>Simu!D15</f>
        <v>0</v>
      </c>
      <c r="K17" s="103">
        <f t="shared" si="5"/>
        <v>0</v>
      </c>
      <c r="L17" s="307">
        <f t="shared" si="6"/>
        <v>1</v>
      </c>
      <c r="M17" s="103">
        <f t="shared" si="18"/>
        <v>0</v>
      </c>
      <c r="N17" s="305">
        <f t="shared" si="7"/>
        <v>0</v>
      </c>
      <c r="O17" s="96">
        <f t="shared" si="8"/>
        <v>4</v>
      </c>
      <c r="P17" s="304">
        <f t="shared" si="19"/>
        <v>48</v>
      </c>
      <c r="Q17" s="305">
        <f t="shared" si="9"/>
        <v>0</v>
      </c>
      <c r="R17" s="96">
        <f t="shared" si="10"/>
        <v>15</v>
      </c>
      <c r="S17" s="305">
        <f t="shared" si="11"/>
        <v>0</v>
      </c>
      <c r="T17" s="308">
        <f t="shared" si="12"/>
        <v>0</v>
      </c>
      <c r="U17" s="308">
        <f t="shared" si="13"/>
        <v>0</v>
      </c>
      <c r="V17" s="308">
        <f t="shared" si="14"/>
        <v>0</v>
      </c>
      <c r="W17" s="309">
        <f t="shared" si="15"/>
        <v>0</v>
      </c>
      <c r="X17" s="310">
        <f t="shared" si="16"/>
        <v>0</v>
      </c>
      <c r="Y17" s="309">
        <f t="shared" si="17"/>
        <v>0</v>
      </c>
      <c r="Z17" s="308">
        <f t="shared" si="20"/>
        <v>0</v>
      </c>
      <c r="AA17" s="310">
        <f t="shared" si="21"/>
        <v>0</v>
      </c>
      <c r="AB17" s="311">
        <f t="shared" si="22"/>
        <v>0</v>
      </c>
      <c r="AC17" s="311">
        <f t="shared" si="23"/>
        <v>0</v>
      </c>
    </row>
    <row r="18" spans="1:29" x14ac:dyDescent="0.2">
      <c r="A18" s="226"/>
      <c r="B18" s="227" t="s">
        <v>16</v>
      </c>
      <c r="D18" s="34"/>
      <c r="E18" s="35">
        <f t="shared" si="2"/>
        <v>0</v>
      </c>
      <c r="F18" s="36">
        <f t="shared" si="3"/>
        <v>0</v>
      </c>
      <c r="H18" s="233" t="str">
        <f>Simu!B16</f>
        <v>-</v>
      </c>
      <c r="I18" s="234" t="str">
        <f>Simu!C16</f>
        <v>-</v>
      </c>
      <c r="J18" s="35">
        <f>Simu!D16</f>
        <v>0</v>
      </c>
      <c r="K18" s="103">
        <f t="shared" si="5"/>
        <v>0</v>
      </c>
      <c r="L18" s="307">
        <f t="shared" si="6"/>
        <v>1</v>
      </c>
      <c r="M18" s="103">
        <f t="shared" si="18"/>
        <v>0</v>
      </c>
      <c r="N18" s="305">
        <f t="shared" si="7"/>
        <v>0</v>
      </c>
      <c r="O18" s="96">
        <f t="shared" si="8"/>
        <v>4</v>
      </c>
      <c r="P18" s="304">
        <f t="shared" si="19"/>
        <v>48</v>
      </c>
      <c r="Q18" s="305">
        <f t="shared" si="9"/>
        <v>0</v>
      </c>
      <c r="R18" s="96">
        <f t="shared" si="10"/>
        <v>15</v>
      </c>
      <c r="S18" s="305">
        <f t="shared" si="11"/>
        <v>0</v>
      </c>
      <c r="T18" s="308">
        <f t="shared" si="12"/>
        <v>0</v>
      </c>
      <c r="U18" s="308">
        <f t="shared" si="13"/>
        <v>0</v>
      </c>
      <c r="V18" s="308">
        <f t="shared" si="14"/>
        <v>0</v>
      </c>
      <c r="W18" s="309">
        <f t="shared" si="15"/>
        <v>0</v>
      </c>
      <c r="X18" s="310">
        <f t="shared" si="16"/>
        <v>0</v>
      </c>
      <c r="Y18" s="309">
        <f t="shared" si="17"/>
        <v>0</v>
      </c>
      <c r="Z18" s="308">
        <f t="shared" si="20"/>
        <v>0</v>
      </c>
      <c r="AA18" s="310">
        <f t="shared" si="21"/>
        <v>0</v>
      </c>
      <c r="AB18" s="311">
        <f t="shared" si="22"/>
        <v>0</v>
      </c>
      <c r="AC18" s="311">
        <f t="shared" si="23"/>
        <v>0</v>
      </c>
    </row>
    <row r="19" spans="1:29" x14ac:dyDescent="0.2">
      <c r="A19" s="228"/>
      <c r="B19" s="229" t="s">
        <v>16</v>
      </c>
      <c r="D19" s="41"/>
      <c r="E19" s="42">
        <f t="shared" si="2"/>
        <v>0</v>
      </c>
      <c r="F19" s="43">
        <f t="shared" si="3"/>
        <v>0</v>
      </c>
      <c r="H19" s="233" t="str">
        <f>Simu!B17</f>
        <v>-</v>
      </c>
      <c r="I19" s="234" t="str">
        <f>Simu!C17</f>
        <v>-</v>
      </c>
      <c r="J19" s="35">
        <f>Simu!D17</f>
        <v>0</v>
      </c>
      <c r="K19" s="103">
        <f t="shared" si="5"/>
        <v>0</v>
      </c>
      <c r="L19" s="307">
        <f t="shared" si="6"/>
        <v>1</v>
      </c>
      <c r="M19" s="103">
        <f t="shared" si="18"/>
        <v>0</v>
      </c>
      <c r="N19" s="305">
        <f t="shared" si="7"/>
        <v>0</v>
      </c>
      <c r="O19" s="96">
        <f t="shared" si="8"/>
        <v>4</v>
      </c>
      <c r="P19" s="304">
        <f t="shared" si="19"/>
        <v>48</v>
      </c>
      <c r="Q19" s="305">
        <f t="shared" si="9"/>
        <v>0</v>
      </c>
      <c r="R19" s="96">
        <f t="shared" si="10"/>
        <v>15</v>
      </c>
      <c r="S19" s="305">
        <f t="shared" si="11"/>
        <v>0</v>
      </c>
      <c r="T19" s="308">
        <f t="shared" si="12"/>
        <v>0</v>
      </c>
      <c r="U19" s="308">
        <f t="shared" si="13"/>
        <v>0</v>
      </c>
      <c r="V19" s="308">
        <f t="shared" si="14"/>
        <v>0</v>
      </c>
      <c r="W19" s="309">
        <f t="shared" si="15"/>
        <v>0</v>
      </c>
      <c r="X19" s="310">
        <f t="shared" si="16"/>
        <v>0</v>
      </c>
      <c r="Y19" s="309">
        <f t="shared" si="17"/>
        <v>0</v>
      </c>
      <c r="Z19" s="308">
        <f t="shared" si="20"/>
        <v>0</v>
      </c>
      <c r="AA19" s="310">
        <f t="shared" si="21"/>
        <v>0</v>
      </c>
      <c r="AB19" s="311">
        <f t="shared" si="22"/>
        <v>0</v>
      </c>
      <c r="AC19" s="311">
        <f t="shared" si="23"/>
        <v>0</v>
      </c>
    </row>
    <row r="20" spans="1:29" x14ac:dyDescent="0.2">
      <c r="D20" s="38">
        <f>+E20+F20</f>
        <v>1</v>
      </c>
      <c r="E20" s="38">
        <f>SUM(E2:E19)</f>
        <v>0</v>
      </c>
      <c r="F20" s="38">
        <f>SUM(F2:F19)</f>
        <v>1</v>
      </c>
      <c r="H20" s="252" t="s">
        <v>51</v>
      </c>
      <c r="I20" s="253" t="s">
        <v>51</v>
      </c>
      <c r="J20" s="254">
        <v>0</v>
      </c>
      <c r="K20" s="236">
        <f t="shared" si="5"/>
        <v>0</v>
      </c>
      <c r="L20" s="237">
        <f t="shared" si="6"/>
        <v>1</v>
      </c>
      <c r="M20" s="236">
        <f t="shared" si="18"/>
        <v>0</v>
      </c>
      <c r="N20" s="238">
        <f t="shared" si="7"/>
        <v>0</v>
      </c>
      <c r="O20" s="239">
        <f t="shared" si="8"/>
        <v>4</v>
      </c>
      <c r="P20" s="240">
        <f t="shared" si="19"/>
        <v>48</v>
      </c>
      <c r="Q20" s="238">
        <f t="shared" si="9"/>
        <v>0</v>
      </c>
      <c r="R20" s="239">
        <f t="shared" si="10"/>
        <v>15</v>
      </c>
      <c r="S20" s="238">
        <f t="shared" si="11"/>
        <v>0</v>
      </c>
      <c r="T20" s="241">
        <f t="shared" si="12"/>
        <v>0</v>
      </c>
      <c r="U20" s="241">
        <f t="shared" si="13"/>
        <v>0</v>
      </c>
      <c r="V20" s="241">
        <f t="shared" si="14"/>
        <v>0</v>
      </c>
      <c r="W20" s="242">
        <f t="shared" si="15"/>
        <v>0</v>
      </c>
      <c r="X20" s="243">
        <f t="shared" si="16"/>
        <v>0</v>
      </c>
      <c r="Y20" s="242">
        <f t="shared" si="17"/>
        <v>0</v>
      </c>
      <c r="Z20" s="241">
        <f t="shared" si="20"/>
        <v>0</v>
      </c>
      <c r="AA20" s="243">
        <f t="shared" si="21"/>
        <v>0</v>
      </c>
      <c r="AB20" s="269">
        <f t="shared" si="22"/>
        <v>0</v>
      </c>
      <c r="AC20" s="269">
        <f t="shared" si="23"/>
        <v>0</v>
      </c>
    </row>
    <row r="21" spans="1:29" x14ac:dyDescent="0.2">
      <c r="H21" s="261" t="s">
        <v>51</v>
      </c>
      <c r="I21" s="262" t="s">
        <v>51</v>
      </c>
      <c r="J21" s="255">
        <v>0</v>
      </c>
      <c r="K21" s="244">
        <f t="shared" si="5"/>
        <v>0</v>
      </c>
      <c r="L21" s="245">
        <f t="shared" si="6"/>
        <v>1</v>
      </c>
      <c r="M21" s="244">
        <f t="shared" si="18"/>
        <v>0</v>
      </c>
      <c r="N21" s="247">
        <f t="shared" si="7"/>
        <v>0</v>
      </c>
      <c r="O21" s="248">
        <f t="shared" si="8"/>
        <v>4</v>
      </c>
      <c r="P21" s="246">
        <f t="shared" si="19"/>
        <v>48</v>
      </c>
      <c r="Q21" s="247">
        <f t="shared" si="9"/>
        <v>0</v>
      </c>
      <c r="R21" s="248">
        <f t="shared" si="10"/>
        <v>15</v>
      </c>
      <c r="S21" s="247">
        <f t="shared" si="11"/>
        <v>0</v>
      </c>
      <c r="T21" s="249">
        <f t="shared" si="12"/>
        <v>0</v>
      </c>
      <c r="U21" s="249">
        <f t="shared" si="13"/>
        <v>0</v>
      </c>
      <c r="V21" s="249">
        <f t="shared" si="14"/>
        <v>0</v>
      </c>
      <c r="W21" s="250">
        <f t="shared" si="15"/>
        <v>0</v>
      </c>
      <c r="X21" s="251">
        <f t="shared" si="16"/>
        <v>0</v>
      </c>
      <c r="Y21" s="250">
        <f t="shared" si="17"/>
        <v>0</v>
      </c>
      <c r="Z21" s="249">
        <f t="shared" si="20"/>
        <v>0</v>
      </c>
      <c r="AA21" s="251">
        <f t="shared" si="21"/>
        <v>0</v>
      </c>
      <c r="AB21" s="269">
        <f t="shared" si="22"/>
        <v>0</v>
      </c>
      <c r="AC21" s="269">
        <f t="shared" si="23"/>
        <v>0</v>
      </c>
    </row>
    <row r="22" spans="1:29" x14ac:dyDescent="0.2">
      <c r="H22" s="138"/>
      <c r="I22" s="138"/>
      <c r="J22" s="139"/>
      <c r="K22" s="140"/>
      <c r="L22" s="140"/>
      <c r="M22" s="140"/>
      <c r="N22" s="140"/>
      <c r="O22" s="405">
        <f>SUM(Q24:Q33)</f>
        <v>19</v>
      </c>
      <c r="P22" s="405"/>
      <c r="Q22" s="406"/>
      <c r="R22" s="405">
        <f>SUM(S24:S33)</f>
        <v>275</v>
      </c>
      <c r="S22" s="406"/>
      <c r="T22" s="142">
        <f t="shared" ref="T22:AA22" si="24">SUM(T24:T33)</f>
        <v>157</v>
      </c>
      <c r="U22" s="142">
        <f t="shared" si="24"/>
        <v>0</v>
      </c>
      <c r="V22" s="142">
        <f t="shared" si="24"/>
        <v>0</v>
      </c>
      <c r="W22" s="142">
        <f t="shared" si="24"/>
        <v>0</v>
      </c>
      <c r="X22" s="142">
        <f t="shared" si="24"/>
        <v>0</v>
      </c>
      <c r="Y22" s="180">
        <f t="shared" si="24"/>
        <v>110</v>
      </c>
      <c r="Z22" s="180">
        <f t="shared" si="24"/>
        <v>157</v>
      </c>
      <c r="AA22" s="210">
        <f t="shared" si="24"/>
        <v>47</v>
      </c>
      <c r="AB22" s="264"/>
      <c r="AC22" s="264"/>
    </row>
    <row r="23" spans="1:29" x14ac:dyDescent="0.2">
      <c r="A23"/>
      <c r="H23" s="407" t="s">
        <v>115</v>
      </c>
      <c r="I23" s="408"/>
      <c r="J23" s="28" t="s">
        <v>114</v>
      </c>
      <c r="K23" s="98" t="s">
        <v>25</v>
      </c>
      <c r="L23" s="98" t="s">
        <v>113</v>
      </c>
      <c r="M23" s="98" t="s">
        <v>52</v>
      </c>
      <c r="N23" s="98" t="s">
        <v>55</v>
      </c>
      <c r="O23" s="400" t="s">
        <v>108</v>
      </c>
      <c r="P23" s="400"/>
      <c r="Q23" s="400"/>
      <c r="R23" s="400" t="s">
        <v>107</v>
      </c>
      <c r="S23" s="400"/>
      <c r="T23" s="126" t="s">
        <v>43</v>
      </c>
      <c r="U23" s="126" t="s">
        <v>109</v>
      </c>
      <c r="V23" s="126" t="s">
        <v>110</v>
      </c>
      <c r="W23" s="128" t="s">
        <v>132</v>
      </c>
      <c r="X23" s="128" t="s">
        <v>131</v>
      </c>
      <c r="Y23" s="181" t="s">
        <v>150</v>
      </c>
      <c r="Z23" s="182" t="s">
        <v>153</v>
      </c>
      <c r="AA23" s="211" t="s">
        <v>112</v>
      </c>
      <c r="AB23" s="264"/>
      <c r="AC23" s="264"/>
    </row>
    <row r="24" spans="1:29" x14ac:dyDescent="0.2">
      <c r="H24" s="403" t="str">
        <f>Simu!B20</f>
        <v>Module SBC   (Raspberry Pi 4/4gb/64gb)</v>
      </c>
      <c r="I24" s="404"/>
      <c r="J24" s="35">
        <f>Simu!D20</f>
        <v>1</v>
      </c>
      <c r="K24" s="103">
        <f t="shared" ref="K24:K33" si="25">VLOOKUP(H24,HardwarePrix,3,FALSE)</f>
        <v>157</v>
      </c>
      <c r="L24" s="193">
        <f t="shared" ref="L24:L33" si="26">$I$5</f>
        <v>1</v>
      </c>
      <c r="M24" s="39">
        <f>J24*K24</f>
        <v>157</v>
      </c>
      <c r="N24" s="39">
        <f t="shared" ref="N24:N29" si="27">IF(M24=0,0,PMT(VLOOKUP(L24,Taux,2,FALSE),L24,-M24,0,1))</f>
        <v>157</v>
      </c>
      <c r="O24" s="96">
        <f t="shared" ref="O24:O33" si="28">IF($I$2="Standard",VLOOKUP(H24,HardwarePrix,7,FALSE),VLOOKUP(H24,HardwarePrix,5,FALSE))</f>
        <v>10</v>
      </c>
      <c r="P24" s="86">
        <f t="shared" ref="P24:P33" si="29">O24*12</f>
        <v>120</v>
      </c>
      <c r="Q24" s="40">
        <f t="shared" ref="Q24:Q33" si="30">O24*J24</f>
        <v>10</v>
      </c>
      <c r="R24" s="96">
        <f t="shared" ref="R24:R33" si="31">VLOOKUP(H24,HardwarePrix,4,FALSE)</f>
        <v>100</v>
      </c>
      <c r="S24" s="40">
        <f t="shared" ref="S24:S33" si="32">R24*J24</f>
        <v>100</v>
      </c>
      <c r="T24" s="92">
        <f t="shared" ref="T24:T33" si="33">IF(L24=1,M24,0)</f>
        <v>157</v>
      </c>
      <c r="U24" s="92">
        <f t="shared" ref="U24:U33" si="34">IF(L24=12,N24,0)</f>
        <v>0</v>
      </c>
      <c r="V24" s="93">
        <f t="shared" ref="V24:V33" si="35">IF(L24=24,N24,0)</f>
        <v>0</v>
      </c>
      <c r="W24" s="147">
        <f t="shared" ref="W24:W33" si="36">IF(L24=12,M24,0)</f>
        <v>0</v>
      </c>
      <c r="X24" s="148">
        <f t="shared" ref="X24:X33" si="37">IF(L24=24,M24,0)</f>
        <v>0</v>
      </c>
      <c r="Y24" s="147">
        <f t="shared" ref="Y24:Y33" si="38">VLOOKUP(H24,HardwarePrix,2,FALSE)*J24</f>
        <v>110</v>
      </c>
      <c r="Z24" s="91">
        <f>K24*J24</f>
        <v>157</v>
      </c>
      <c r="AA24" s="148">
        <f>Z24-Y24</f>
        <v>47</v>
      </c>
      <c r="AB24" s="263">
        <f>IF(H24=Hardware!$B$20,J24,0)</f>
        <v>0</v>
      </c>
      <c r="AC24" s="263">
        <f>IF(H24&lt;&gt;Hardware!$B$20,J24,0)</f>
        <v>1</v>
      </c>
    </row>
    <row r="25" spans="1:29" s="1" customFormat="1" x14ac:dyDescent="0.2">
      <c r="B25"/>
      <c r="H25" s="403" t="str">
        <f>Simu!B21</f>
        <v>-</v>
      </c>
      <c r="I25" s="404"/>
      <c r="J25" s="35">
        <f>Simu!D21</f>
        <v>0</v>
      </c>
      <c r="K25" s="103">
        <f t="shared" si="25"/>
        <v>0</v>
      </c>
      <c r="L25" s="193">
        <f t="shared" si="26"/>
        <v>1</v>
      </c>
      <c r="M25" s="39">
        <f t="shared" ref="M25:M33" si="39">J25*K25</f>
        <v>0</v>
      </c>
      <c r="N25" s="39">
        <f t="shared" si="27"/>
        <v>0</v>
      </c>
      <c r="O25" s="96">
        <f t="shared" si="28"/>
        <v>0</v>
      </c>
      <c r="P25" s="86">
        <f t="shared" si="29"/>
        <v>0</v>
      </c>
      <c r="Q25" s="40">
        <f t="shared" si="30"/>
        <v>0</v>
      </c>
      <c r="R25" s="96">
        <f t="shared" si="31"/>
        <v>0</v>
      </c>
      <c r="S25" s="40">
        <f t="shared" si="32"/>
        <v>0</v>
      </c>
      <c r="T25" s="92">
        <f t="shared" si="33"/>
        <v>0</v>
      </c>
      <c r="U25" s="92">
        <f t="shared" si="34"/>
        <v>0</v>
      </c>
      <c r="V25" s="93">
        <f t="shared" si="35"/>
        <v>0</v>
      </c>
      <c r="W25" s="149">
        <f t="shared" si="36"/>
        <v>0</v>
      </c>
      <c r="X25" s="93">
        <f t="shared" si="37"/>
        <v>0</v>
      </c>
      <c r="Y25" s="149">
        <f t="shared" si="38"/>
        <v>0</v>
      </c>
      <c r="Z25" s="92">
        <f t="shared" ref="Z25:Z33" si="40">K25*J25</f>
        <v>0</v>
      </c>
      <c r="AA25" s="93">
        <f t="shared" ref="AA25:AA33" si="41">Z25-Y25</f>
        <v>0</v>
      </c>
      <c r="AB25" s="263">
        <f>IF(H25=Hardware!$B$20,J25,0)</f>
        <v>0</v>
      </c>
      <c r="AC25" s="263">
        <f>IF(H25&lt;&gt;Hardware!$B$20,J25,0)</f>
        <v>0</v>
      </c>
    </row>
    <row r="26" spans="1:29" s="1" customFormat="1" x14ac:dyDescent="0.2">
      <c r="B26"/>
      <c r="H26" s="403" t="str">
        <f>Simu!B22</f>
        <v>-</v>
      </c>
      <c r="I26" s="404"/>
      <c r="J26" s="35">
        <f>Simu!D22</f>
        <v>0</v>
      </c>
      <c r="K26" s="103">
        <f t="shared" si="25"/>
        <v>0</v>
      </c>
      <c r="L26" s="193">
        <f t="shared" si="26"/>
        <v>1</v>
      </c>
      <c r="M26" s="39">
        <f t="shared" si="39"/>
        <v>0</v>
      </c>
      <c r="N26" s="39">
        <f t="shared" si="27"/>
        <v>0</v>
      </c>
      <c r="O26" s="96">
        <f t="shared" si="28"/>
        <v>0</v>
      </c>
      <c r="P26" s="86">
        <f t="shared" si="29"/>
        <v>0</v>
      </c>
      <c r="Q26" s="40">
        <f t="shared" si="30"/>
        <v>0</v>
      </c>
      <c r="R26" s="96">
        <f t="shared" si="31"/>
        <v>0</v>
      </c>
      <c r="S26" s="40">
        <f t="shared" si="32"/>
        <v>0</v>
      </c>
      <c r="T26" s="92">
        <f t="shared" si="33"/>
        <v>0</v>
      </c>
      <c r="U26" s="92">
        <f t="shared" si="34"/>
        <v>0</v>
      </c>
      <c r="V26" s="93">
        <f t="shared" si="35"/>
        <v>0</v>
      </c>
      <c r="W26" s="149">
        <f t="shared" si="36"/>
        <v>0</v>
      </c>
      <c r="X26" s="93">
        <f t="shared" si="37"/>
        <v>0</v>
      </c>
      <c r="Y26" s="149">
        <f t="shared" si="38"/>
        <v>0</v>
      </c>
      <c r="Z26" s="92">
        <f t="shared" si="40"/>
        <v>0</v>
      </c>
      <c r="AA26" s="93">
        <f t="shared" si="41"/>
        <v>0</v>
      </c>
      <c r="AB26" s="263">
        <f>IF(H26=Hardware!$B$20,J26,0)</f>
        <v>0</v>
      </c>
      <c r="AC26" s="263">
        <f>IF(H26&lt;&gt;Hardware!$B$20,J26,0)</f>
        <v>0</v>
      </c>
    </row>
    <row r="27" spans="1:29" s="1" customFormat="1" x14ac:dyDescent="0.2">
      <c r="B27"/>
      <c r="H27" s="403" t="str">
        <f>Simu!B23</f>
        <v>-</v>
      </c>
      <c r="I27" s="404"/>
      <c r="J27" s="35">
        <f>Simu!D23</f>
        <v>0</v>
      </c>
      <c r="K27" s="103">
        <f t="shared" si="25"/>
        <v>0</v>
      </c>
      <c r="L27" s="193">
        <f t="shared" si="26"/>
        <v>1</v>
      </c>
      <c r="M27" s="39">
        <f t="shared" si="39"/>
        <v>0</v>
      </c>
      <c r="N27" s="39">
        <f t="shared" si="27"/>
        <v>0</v>
      </c>
      <c r="O27" s="96">
        <f t="shared" si="28"/>
        <v>0</v>
      </c>
      <c r="P27" s="86">
        <f t="shared" si="29"/>
        <v>0</v>
      </c>
      <c r="Q27" s="40">
        <f t="shared" si="30"/>
        <v>0</v>
      </c>
      <c r="R27" s="96">
        <f t="shared" si="31"/>
        <v>0</v>
      </c>
      <c r="S27" s="40">
        <f t="shared" si="32"/>
        <v>0</v>
      </c>
      <c r="T27" s="92">
        <f t="shared" si="33"/>
        <v>0</v>
      </c>
      <c r="U27" s="92">
        <f t="shared" si="34"/>
        <v>0</v>
      </c>
      <c r="V27" s="93">
        <f t="shared" si="35"/>
        <v>0</v>
      </c>
      <c r="W27" s="149">
        <f t="shared" si="36"/>
        <v>0</v>
      </c>
      <c r="X27" s="93">
        <f t="shared" si="37"/>
        <v>0</v>
      </c>
      <c r="Y27" s="149">
        <f t="shared" si="38"/>
        <v>0</v>
      </c>
      <c r="Z27" s="92">
        <f t="shared" si="40"/>
        <v>0</v>
      </c>
      <c r="AA27" s="93">
        <f t="shared" si="41"/>
        <v>0</v>
      </c>
      <c r="AB27" s="263">
        <f>IF(H27=Hardware!$B$20,J27,0)</f>
        <v>0</v>
      </c>
      <c r="AC27" s="263">
        <f>IF(H27&lt;&gt;Hardware!$B$20,J27,0)</f>
        <v>0</v>
      </c>
    </row>
    <row r="28" spans="1:29" s="1" customFormat="1" x14ac:dyDescent="0.2">
      <c r="B28"/>
      <c r="H28" s="403" t="str">
        <f>Simu!B24</f>
        <v>-</v>
      </c>
      <c r="I28" s="404"/>
      <c r="J28" s="35">
        <f>Simu!D24</f>
        <v>0</v>
      </c>
      <c r="K28" s="103">
        <f t="shared" si="25"/>
        <v>0</v>
      </c>
      <c r="L28" s="193">
        <f t="shared" si="26"/>
        <v>1</v>
      </c>
      <c r="M28" s="39">
        <f t="shared" si="39"/>
        <v>0</v>
      </c>
      <c r="N28" s="39">
        <f t="shared" si="27"/>
        <v>0</v>
      </c>
      <c r="O28" s="96">
        <f t="shared" si="28"/>
        <v>0</v>
      </c>
      <c r="P28" s="86">
        <f t="shared" si="29"/>
        <v>0</v>
      </c>
      <c r="Q28" s="40">
        <f t="shared" si="30"/>
        <v>0</v>
      </c>
      <c r="R28" s="96">
        <f t="shared" si="31"/>
        <v>0</v>
      </c>
      <c r="S28" s="40">
        <f t="shared" si="32"/>
        <v>0</v>
      </c>
      <c r="T28" s="92">
        <f t="shared" si="33"/>
        <v>0</v>
      </c>
      <c r="U28" s="92">
        <f t="shared" si="34"/>
        <v>0</v>
      </c>
      <c r="V28" s="93">
        <f t="shared" si="35"/>
        <v>0</v>
      </c>
      <c r="W28" s="149">
        <f t="shared" si="36"/>
        <v>0</v>
      </c>
      <c r="X28" s="93">
        <f t="shared" si="37"/>
        <v>0</v>
      </c>
      <c r="Y28" s="149">
        <f t="shared" si="38"/>
        <v>0</v>
      </c>
      <c r="Z28" s="92">
        <f t="shared" si="40"/>
        <v>0</v>
      </c>
      <c r="AA28" s="93">
        <f t="shared" si="41"/>
        <v>0</v>
      </c>
      <c r="AB28" s="263">
        <f>IF(H28=Hardware!$B$20,J28,0)</f>
        <v>0</v>
      </c>
      <c r="AC28" s="263">
        <f>IF(H28&lt;&gt;Hardware!$B$20,J28,0)</f>
        <v>0</v>
      </c>
    </row>
    <row r="29" spans="1:29" s="1" customFormat="1" x14ac:dyDescent="0.2">
      <c r="B29"/>
      <c r="H29" s="401" t="s">
        <v>51</v>
      </c>
      <c r="I29" s="402"/>
      <c r="J29" s="254">
        <v>0</v>
      </c>
      <c r="K29" s="236">
        <f t="shared" si="25"/>
        <v>0</v>
      </c>
      <c r="L29" s="237">
        <f t="shared" si="26"/>
        <v>1</v>
      </c>
      <c r="M29" s="236">
        <f t="shared" si="39"/>
        <v>0</v>
      </c>
      <c r="N29" s="236">
        <f t="shared" si="27"/>
        <v>0</v>
      </c>
      <c r="O29" s="239">
        <f t="shared" si="28"/>
        <v>0</v>
      </c>
      <c r="P29" s="240">
        <f t="shared" si="29"/>
        <v>0</v>
      </c>
      <c r="Q29" s="238">
        <f t="shared" si="30"/>
        <v>0</v>
      </c>
      <c r="R29" s="239">
        <f t="shared" si="31"/>
        <v>0</v>
      </c>
      <c r="S29" s="238">
        <f t="shared" si="32"/>
        <v>0</v>
      </c>
      <c r="T29" s="241">
        <f t="shared" si="33"/>
        <v>0</v>
      </c>
      <c r="U29" s="241">
        <f t="shared" si="34"/>
        <v>0</v>
      </c>
      <c r="V29" s="243">
        <f t="shared" si="35"/>
        <v>0</v>
      </c>
      <c r="W29" s="242">
        <f t="shared" si="36"/>
        <v>0</v>
      </c>
      <c r="X29" s="243">
        <f t="shared" si="37"/>
        <v>0</v>
      </c>
      <c r="Y29" s="242">
        <f t="shared" si="38"/>
        <v>0</v>
      </c>
      <c r="Z29" s="241">
        <f t="shared" si="40"/>
        <v>0</v>
      </c>
      <c r="AA29" s="243">
        <f t="shared" si="41"/>
        <v>0</v>
      </c>
      <c r="AB29" s="269">
        <f>IF(H29=Hardware!$B$20,J29,0)</f>
        <v>0</v>
      </c>
      <c r="AC29" s="269">
        <f>IF(H29&lt;&gt;Hardware!$B$20,J29,0)</f>
        <v>0</v>
      </c>
    </row>
    <row r="30" spans="1:29" s="1" customFormat="1" x14ac:dyDescent="0.2">
      <c r="B30"/>
      <c r="H30" s="401" t="s">
        <v>51</v>
      </c>
      <c r="I30" s="402"/>
      <c r="J30" s="254">
        <v>0</v>
      </c>
      <c r="K30" s="236">
        <f t="shared" si="25"/>
        <v>0</v>
      </c>
      <c r="L30" s="237">
        <f t="shared" si="26"/>
        <v>1</v>
      </c>
      <c r="M30" s="236">
        <f t="shared" si="39"/>
        <v>0</v>
      </c>
      <c r="N30" s="236">
        <f>IF(M30=0,0,PMT(VLOOKUP(L30,Taux,2,FALSE),L30,-M30,0,1)+VLOOKUP(L30,Taux,3,FALSE)+valeurs!$Q$2)</f>
        <v>0</v>
      </c>
      <c r="O30" s="239">
        <f t="shared" si="28"/>
        <v>0</v>
      </c>
      <c r="P30" s="240">
        <f t="shared" si="29"/>
        <v>0</v>
      </c>
      <c r="Q30" s="238">
        <f t="shared" si="30"/>
        <v>0</v>
      </c>
      <c r="R30" s="239">
        <f t="shared" si="31"/>
        <v>0</v>
      </c>
      <c r="S30" s="238">
        <f t="shared" si="32"/>
        <v>0</v>
      </c>
      <c r="T30" s="241">
        <f t="shared" si="33"/>
        <v>0</v>
      </c>
      <c r="U30" s="241">
        <f t="shared" si="34"/>
        <v>0</v>
      </c>
      <c r="V30" s="243">
        <f t="shared" si="35"/>
        <v>0</v>
      </c>
      <c r="W30" s="242">
        <f t="shared" si="36"/>
        <v>0</v>
      </c>
      <c r="X30" s="243">
        <f t="shared" si="37"/>
        <v>0</v>
      </c>
      <c r="Y30" s="242">
        <f t="shared" si="38"/>
        <v>0</v>
      </c>
      <c r="Z30" s="241">
        <f t="shared" si="40"/>
        <v>0</v>
      </c>
      <c r="AA30" s="243">
        <f t="shared" si="41"/>
        <v>0</v>
      </c>
      <c r="AB30" s="269">
        <f>IF(H30=Hardware!$B$20,J30,0)</f>
        <v>0</v>
      </c>
      <c r="AC30" s="269">
        <f>IF(H30&lt;&gt;Hardware!$B$20,J30,0)</f>
        <v>0</v>
      </c>
    </row>
    <row r="31" spans="1:29" s="1" customFormat="1" x14ac:dyDescent="0.2">
      <c r="B31"/>
      <c r="H31" s="401" t="s">
        <v>51</v>
      </c>
      <c r="I31" s="402"/>
      <c r="J31" s="254">
        <v>0</v>
      </c>
      <c r="K31" s="236">
        <f t="shared" si="25"/>
        <v>0</v>
      </c>
      <c r="L31" s="237">
        <f t="shared" si="26"/>
        <v>1</v>
      </c>
      <c r="M31" s="236">
        <f t="shared" si="39"/>
        <v>0</v>
      </c>
      <c r="N31" s="236">
        <f>IF(M31=0,0,PMT(VLOOKUP(L31,Taux,2,FALSE),L31,-M31,0,1)+VLOOKUP(L31,Taux,3,FALSE)+valeurs!$Q$2)</f>
        <v>0</v>
      </c>
      <c r="O31" s="239">
        <f t="shared" si="28"/>
        <v>0</v>
      </c>
      <c r="P31" s="240">
        <f t="shared" si="29"/>
        <v>0</v>
      </c>
      <c r="Q31" s="238">
        <f t="shared" si="30"/>
        <v>0</v>
      </c>
      <c r="R31" s="239">
        <f t="shared" si="31"/>
        <v>0</v>
      </c>
      <c r="S31" s="238">
        <f t="shared" si="32"/>
        <v>0</v>
      </c>
      <c r="T31" s="241">
        <f t="shared" si="33"/>
        <v>0</v>
      </c>
      <c r="U31" s="241">
        <f t="shared" si="34"/>
        <v>0</v>
      </c>
      <c r="V31" s="243">
        <f t="shared" si="35"/>
        <v>0</v>
      </c>
      <c r="W31" s="242">
        <f t="shared" si="36"/>
        <v>0</v>
      </c>
      <c r="X31" s="243">
        <f t="shared" si="37"/>
        <v>0</v>
      </c>
      <c r="Y31" s="242">
        <f t="shared" si="38"/>
        <v>0</v>
      </c>
      <c r="Z31" s="241">
        <f t="shared" si="40"/>
        <v>0</v>
      </c>
      <c r="AA31" s="243">
        <f t="shared" si="41"/>
        <v>0</v>
      </c>
      <c r="AB31" s="269">
        <f>IF(H31=Hardware!$B$20,J31,0)</f>
        <v>0</v>
      </c>
      <c r="AC31" s="269">
        <f>IF(H31&lt;&gt;Hardware!$B$20,J31,0)</f>
        <v>0</v>
      </c>
    </row>
    <row r="32" spans="1:29" s="1" customFormat="1" x14ac:dyDescent="0.2">
      <c r="B32"/>
      <c r="H32" s="401" t="s">
        <v>51</v>
      </c>
      <c r="I32" s="402"/>
      <c r="J32" s="254">
        <v>0</v>
      </c>
      <c r="K32" s="236">
        <f t="shared" si="25"/>
        <v>0</v>
      </c>
      <c r="L32" s="237">
        <f t="shared" si="26"/>
        <v>1</v>
      </c>
      <c r="M32" s="236">
        <f t="shared" si="39"/>
        <v>0</v>
      </c>
      <c r="N32" s="236">
        <f>IF(M32=0,0,PMT(VLOOKUP(L32,Taux,2,FALSE),L32,-M32,0,1)+VLOOKUP(L32,Taux,3,FALSE)+valeurs!$Q$2)</f>
        <v>0</v>
      </c>
      <c r="O32" s="239">
        <f t="shared" si="28"/>
        <v>0</v>
      </c>
      <c r="P32" s="240">
        <f t="shared" si="29"/>
        <v>0</v>
      </c>
      <c r="Q32" s="238">
        <f t="shared" si="30"/>
        <v>0</v>
      </c>
      <c r="R32" s="239">
        <f t="shared" si="31"/>
        <v>0</v>
      </c>
      <c r="S32" s="238">
        <f t="shared" si="32"/>
        <v>0</v>
      </c>
      <c r="T32" s="241">
        <f t="shared" si="33"/>
        <v>0</v>
      </c>
      <c r="U32" s="241">
        <f t="shared" si="34"/>
        <v>0</v>
      </c>
      <c r="V32" s="243">
        <f t="shared" si="35"/>
        <v>0</v>
      </c>
      <c r="W32" s="242">
        <f t="shared" si="36"/>
        <v>0</v>
      </c>
      <c r="X32" s="243">
        <f t="shared" si="37"/>
        <v>0</v>
      </c>
      <c r="Y32" s="242">
        <f t="shared" si="38"/>
        <v>0</v>
      </c>
      <c r="Z32" s="241">
        <f t="shared" si="40"/>
        <v>0</v>
      </c>
      <c r="AA32" s="243">
        <f t="shared" si="41"/>
        <v>0</v>
      </c>
      <c r="AB32" s="269">
        <f>IF(H32=Hardware!$B$20,J32,0)</f>
        <v>0</v>
      </c>
      <c r="AC32" s="269">
        <f>IF(H32&lt;&gt;Hardware!$B$20,J32,0)</f>
        <v>0</v>
      </c>
    </row>
    <row r="33" spans="2:29" s="1" customFormat="1" x14ac:dyDescent="0.2">
      <c r="B33"/>
      <c r="H33" s="398" t="str">
        <f>IF(B2="oui",Hardware!B21,Hardware!B10)</f>
        <v>2ème serveur en fail over VPS (France)</v>
      </c>
      <c r="I33" s="399"/>
      <c r="J33" s="255">
        <f>IF(B2="oui",1,0)</f>
        <v>1</v>
      </c>
      <c r="K33" s="244">
        <f t="shared" si="25"/>
        <v>0</v>
      </c>
      <c r="L33" s="245">
        <f t="shared" si="26"/>
        <v>1</v>
      </c>
      <c r="M33" s="244">
        <f t="shared" si="39"/>
        <v>0</v>
      </c>
      <c r="N33" s="244">
        <f>IF(M33=0,0,PMT(VLOOKUP(L33,Taux,2,FALSE),L33,-M33,0,1))</f>
        <v>0</v>
      </c>
      <c r="O33" s="239">
        <f t="shared" si="28"/>
        <v>9</v>
      </c>
      <c r="P33" s="246">
        <f t="shared" si="29"/>
        <v>108</v>
      </c>
      <c r="Q33" s="247">
        <f t="shared" si="30"/>
        <v>9</v>
      </c>
      <c r="R33" s="248">
        <f t="shared" si="31"/>
        <v>175</v>
      </c>
      <c r="S33" s="247">
        <f t="shared" si="32"/>
        <v>175</v>
      </c>
      <c r="T33" s="249">
        <f t="shared" si="33"/>
        <v>0</v>
      </c>
      <c r="U33" s="249">
        <f t="shared" si="34"/>
        <v>0</v>
      </c>
      <c r="V33" s="251">
        <f t="shared" si="35"/>
        <v>0</v>
      </c>
      <c r="W33" s="250">
        <f t="shared" si="36"/>
        <v>0</v>
      </c>
      <c r="X33" s="251">
        <f t="shared" si="37"/>
        <v>0</v>
      </c>
      <c r="Y33" s="250">
        <f t="shared" si="38"/>
        <v>0</v>
      </c>
      <c r="Z33" s="249">
        <f t="shared" si="40"/>
        <v>0</v>
      </c>
      <c r="AA33" s="251">
        <f t="shared" si="41"/>
        <v>0</v>
      </c>
      <c r="AB33" s="269">
        <f>IF(H33=Hardware!$B$20,J33,0)</f>
        <v>0</v>
      </c>
      <c r="AC33" s="272">
        <f>IF(H33&lt;&gt;Hardware!$B$20,J33,0)</f>
        <v>1</v>
      </c>
    </row>
    <row r="34" spans="2:29" s="1" customFormat="1" x14ac:dyDescent="0.2">
      <c r="B34"/>
      <c r="H34" s="138"/>
      <c r="I34" s="138"/>
      <c r="J34" s="138"/>
      <c r="K34" s="138"/>
      <c r="L34" s="138"/>
      <c r="M34" s="138"/>
      <c r="N34" s="138"/>
      <c r="O34" s="405">
        <f>SUM(Q36:Q45)</f>
        <v>15</v>
      </c>
      <c r="P34" s="405"/>
      <c r="Q34" s="406"/>
      <c r="R34" s="405">
        <f>SUM(S36:S45)</f>
        <v>55</v>
      </c>
      <c r="S34" s="406"/>
      <c r="T34"/>
      <c r="U34"/>
      <c r="V34"/>
      <c r="AB34" s="230">
        <f>SUM(AB36:AB45)</f>
        <v>5</v>
      </c>
      <c r="AC34"/>
    </row>
    <row r="35" spans="2:29" s="104" customFormat="1" x14ac:dyDescent="0.2">
      <c r="H35" s="407" t="s">
        <v>119</v>
      </c>
      <c r="I35" s="408"/>
      <c r="J35" s="28" t="s">
        <v>114</v>
      </c>
      <c r="K35" s="98" t="s">
        <v>25</v>
      </c>
      <c r="L35" s="98" t="s">
        <v>113</v>
      </c>
      <c r="M35" s="98" t="s">
        <v>52</v>
      </c>
      <c r="N35" s="225" t="s">
        <v>55</v>
      </c>
      <c r="O35" s="400" t="s">
        <v>108</v>
      </c>
      <c r="P35" s="400"/>
      <c r="Q35" s="400"/>
      <c r="R35" s="400" t="s">
        <v>107</v>
      </c>
      <c r="S35" s="400"/>
      <c r="T35"/>
      <c r="U35"/>
      <c r="V35"/>
      <c r="AB35" s="289" t="s">
        <v>210</v>
      </c>
      <c r="AC35"/>
    </row>
    <row r="36" spans="2:29" s="1" customFormat="1" x14ac:dyDescent="0.2">
      <c r="H36" s="403" t="str">
        <f>Simu!B27</f>
        <v>Réceptionnist</v>
      </c>
      <c r="I36" s="404"/>
      <c r="J36" s="35">
        <f>Simu!D27</f>
        <v>1</v>
      </c>
      <c r="K36" s="236"/>
      <c r="L36" s="254"/>
      <c r="M36" s="236"/>
      <c r="N36" s="238"/>
      <c r="O36" s="96">
        <f t="shared" ref="O36:O45" si="42">IF($I$2="Standard",VLOOKUP(H36,ProfilsPrix,7,FALSE),VLOOKUP(H36,ProfilsPrix,5,FALSE))</f>
        <v>6</v>
      </c>
      <c r="P36" s="86">
        <f t="shared" ref="P36" si="43">O36*12</f>
        <v>72</v>
      </c>
      <c r="Q36" s="40">
        <f t="shared" ref="Q36:Q45" si="44">O36*J36</f>
        <v>6</v>
      </c>
      <c r="R36" s="96">
        <f t="shared" ref="R36:R45" si="45">VLOOKUP(H36,ProfilsPrix,4,FALSE)</f>
        <v>25</v>
      </c>
      <c r="S36" s="40">
        <f t="shared" ref="S36:S45" si="46">R36*J36</f>
        <v>25</v>
      </c>
      <c r="T36"/>
      <c r="U36"/>
      <c r="V36"/>
      <c r="AB36" s="263">
        <f>IF(H36=Hardware!$B$30,0,travail!J36)</f>
        <v>1</v>
      </c>
      <c r="AC36"/>
    </row>
    <row r="37" spans="2:29" s="104" customFormat="1" x14ac:dyDescent="0.2">
      <c r="H37" s="403" t="str">
        <f>Simu!B28</f>
        <v>Téléphone IP &amp; Applications Soft Phone / Mobile</v>
      </c>
      <c r="I37" s="404"/>
      <c r="J37" s="35">
        <f>Simu!D28</f>
        <v>1</v>
      </c>
      <c r="K37" s="257"/>
      <c r="L37" s="257"/>
      <c r="M37" s="257"/>
      <c r="N37" s="259"/>
      <c r="O37" s="96">
        <f t="shared" si="42"/>
        <v>3</v>
      </c>
      <c r="P37" s="86">
        <f t="shared" ref="P37:P45" si="47">O37*12</f>
        <v>36</v>
      </c>
      <c r="Q37" s="40">
        <f t="shared" si="44"/>
        <v>3</v>
      </c>
      <c r="R37" s="96">
        <f t="shared" si="45"/>
        <v>15</v>
      </c>
      <c r="S37" s="40">
        <f t="shared" si="46"/>
        <v>15</v>
      </c>
      <c r="T37"/>
      <c r="U37"/>
      <c r="V37"/>
      <c r="AB37" s="263">
        <f>IF(H37=Hardware!$B$30,0,travail!J37)</f>
        <v>1</v>
      </c>
      <c r="AC37"/>
    </row>
    <row r="38" spans="2:29" s="104" customFormat="1" x14ac:dyDescent="0.2">
      <c r="H38" s="403" t="str">
        <f>Simu!B29</f>
        <v>Téléphone IP uniquement</v>
      </c>
      <c r="I38" s="404"/>
      <c r="J38" s="35">
        <f>Simu!D29</f>
        <v>3</v>
      </c>
      <c r="K38" s="257"/>
      <c r="L38" s="257"/>
      <c r="M38" s="257"/>
      <c r="N38" s="259"/>
      <c r="O38" s="96">
        <f t="shared" si="42"/>
        <v>2</v>
      </c>
      <c r="P38" s="86">
        <f t="shared" si="47"/>
        <v>24</v>
      </c>
      <c r="Q38" s="40">
        <f t="shared" si="44"/>
        <v>6</v>
      </c>
      <c r="R38" s="96">
        <f t="shared" si="45"/>
        <v>5</v>
      </c>
      <c r="S38" s="40">
        <f t="shared" si="46"/>
        <v>15</v>
      </c>
      <c r="T38"/>
      <c r="U38"/>
      <c r="V38"/>
      <c r="AB38" s="263">
        <f>IF(H38=Hardware!$B$30,0,travail!J38)</f>
        <v>3</v>
      </c>
      <c r="AC38"/>
    </row>
    <row r="39" spans="2:29" s="104" customFormat="1" x14ac:dyDescent="0.2">
      <c r="H39" s="403" t="str">
        <f>Simu!B30</f>
        <v>-</v>
      </c>
      <c r="I39" s="404"/>
      <c r="J39" s="35">
        <f>Simu!D30</f>
        <v>0</v>
      </c>
      <c r="K39" s="257"/>
      <c r="L39" s="257"/>
      <c r="M39" s="257"/>
      <c r="N39" s="259"/>
      <c r="O39" s="96">
        <f t="shared" si="42"/>
        <v>0</v>
      </c>
      <c r="P39" s="86">
        <f t="shared" si="47"/>
        <v>0</v>
      </c>
      <c r="Q39" s="40">
        <f t="shared" si="44"/>
        <v>0</v>
      </c>
      <c r="R39" s="96">
        <f t="shared" si="45"/>
        <v>0</v>
      </c>
      <c r="S39" s="40">
        <f t="shared" si="46"/>
        <v>0</v>
      </c>
      <c r="T39"/>
      <c r="U39"/>
      <c r="V39"/>
      <c r="AB39" s="263">
        <f>IF(H39=Hardware!$B$30,0,travail!J39)</f>
        <v>0</v>
      </c>
      <c r="AC39"/>
    </row>
    <row r="40" spans="2:29" s="104" customFormat="1" x14ac:dyDescent="0.2">
      <c r="H40" s="403" t="str">
        <f>Simu!B31</f>
        <v>-</v>
      </c>
      <c r="I40" s="404"/>
      <c r="J40" s="35">
        <f>Simu!D31</f>
        <v>0</v>
      </c>
      <c r="K40" s="257"/>
      <c r="L40" s="257"/>
      <c r="M40" s="257"/>
      <c r="N40" s="259"/>
      <c r="O40" s="96">
        <f t="shared" si="42"/>
        <v>0</v>
      </c>
      <c r="P40" s="304">
        <f t="shared" si="47"/>
        <v>0</v>
      </c>
      <c r="Q40" s="305">
        <f t="shared" si="44"/>
        <v>0</v>
      </c>
      <c r="R40" s="96">
        <f t="shared" si="45"/>
        <v>0</v>
      </c>
      <c r="S40" s="305">
        <f t="shared" si="46"/>
        <v>0</v>
      </c>
      <c r="T40" s="25"/>
      <c r="U40" s="25"/>
      <c r="V40" s="25"/>
      <c r="W40" s="306"/>
      <c r="X40" s="306"/>
      <c r="Y40" s="306"/>
      <c r="Z40" s="306"/>
      <c r="AA40" s="306"/>
      <c r="AB40" s="263">
        <f>IF(H40=Hardware!$B$30,0,travail!J40)</f>
        <v>0</v>
      </c>
      <c r="AC40"/>
    </row>
    <row r="41" spans="2:29" s="104" customFormat="1" x14ac:dyDescent="0.2">
      <c r="H41" s="403" t="str">
        <f>Simu!B32</f>
        <v>-</v>
      </c>
      <c r="I41" s="404"/>
      <c r="J41" s="35">
        <f>Simu!D32</f>
        <v>0</v>
      </c>
      <c r="K41" s="257"/>
      <c r="L41" s="257"/>
      <c r="M41" s="257"/>
      <c r="N41" s="259"/>
      <c r="O41" s="96">
        <f t="shared" si="42"/>
        <v>0</v>
      </c>
      <c r="P41" s="304">
        <f t="shared" si="47"/>
        <v>0</v>
      </c>
      <c r="Q41" s="305">
        <f t="shared" si="44"/>
        <v>0</v>
      </c>
      <c r="R41" s="96">
        <f t="shared" si="45"/>
        <v>0</v>
      </c>
      <c r="S41" s="305">
        <f t="shared" si="46"/>
        <v>0</v>
      </c>
      <c r="T41" s="25"/>
      <c r="U41" s="25"/>
      <c r="V41" s="25"/>
      <c r="W41" s="306"/>
      <c r="X41" s="306"/>
      <c r="Y41" s="306"/>
      <c r="Z41" s="306"/>
      <c r="AA41" s="306"/>
      <c r="AB41" s="263">
        <f>IF(H41=Hardware!$B$30,0,travail!J41)</f>
        <v>0</v>
      </c>
      <c r="AC41"/>
    </row>
    <row r="42" spans="2:29" s="104" customFormat="1" x14ac:dyDescent="0.2">
      <c r="H42" s="401" t="s">
        <v>51</v>
      </c>
      <c r="I42" s="402"/>
      <c r="J42" s="254">
        <v>0</v>
      </c>
      <c r="K42" s="257"/>
      <c r="L42" s="257"/>
      <c r="M42" s="257"/>
      <c r="N42" s="259"/>
      <c r="O42" s="239">
        <f t="shared" si="42"/>
        <v>0</v>
      </c>
      <c r="P42" s="240">
        <f t="shared" si="47"/>
        <v>0</v>
      </c>
      <c r="Q42" s="238">
        <f t="shared" si="44"/>
        <v>0</v>
      </c>
      <c r="R42" s="239">
        <f t="shared" si="45"/>
        <v>0</v>
      </c>
      <c r="S42" s="238">
        <f t="shared" si="46"/>
        <v>0</v>
      </c>
      <c r="T42" s="265"/>
      <c r="U42" s="265"/>
      <c r="V42" s="265"/>
      <c r="W42" s="257"/>
      <c r="X42" s="257"/>
      <c r="Y42" s="257"/>
      <c r="Z42" s="257"/>
      <c r="AA42" s="257"/>
      <c r="AB42" s="270">
        <f t="shared" ref="AB42:AB45" si="48">J42</f>
        <v>0</v>
      </c>
      <c r="AC42"/>
    </row>
    <row r="43" spans="2:29" s="104" customFormat="1" x14ac:dyDescent="0.2">
      <c r="H43" s="401" t="s">
        <v>51</v>
      </c>
      <c r="I43" s="402"/>
      <c r="J43" s="254">
        <v>0</v>
      </c>
      <c r="K43" s="257"/>
      <c r="L43" s="257"/>
      <c r="M43" s="257"/>
      <c r="N43" s="259"/>
      <c r="O43" s="239">
        <f t="shared" si="42"/>
        <v>0</v>
      </c>
      <c r="P43" s="240">
        <f t="shared" si="47"/>
        <v>0</v>
      </c>
      <c r="Q43" s="238">
        <f t="shared" si="44"/>
        <v>0</v>
      </c>
      <c r="R43" s="239">
        <f t="shared" si="45"/>
        <v>0</v>
      </c>
      <c r="S43" s="238">
        <f t="shared" si="46"/>
        <v>0</v>
      </c>
      <c r="T43" s="265"/>
      <c r="U43" s="265"/>
      <c r="V43" s="265"/>
      <c r="W43" s="257"/>
      <c r="X43" s="257"/>
      <c r="Y43" s="257"/>
      <c r="Z43" s="257"/>
      <c r="AA43" s="257"/>
      <c r="AB43" s="270">
        <f t="shared" si="48"/>
        <v>0</v>
      </c>
      <c r="AC43"/>
    </row>
    <row r="44" spans="2:29" s="104" customFormat="1" x14ac:dyDescent="0.2">
      <c r="H44" s="401" t="s">
        <v>51</v>
      </c>
      <c r="I44" s="402"/>
      <c r="J44" s="254">
        <v>0</v>
      </c>
      <c r="K44" s="257"/>
      <c r="L44" s="257"/>
      <c r="M44" s="257"/>
      <c r="N44" s="259"/>
      <c r="O44" s="239">
        <f t="shared" si="42"/>
        <v>0</v>
      </c>
      <c r="P44" s="240">
        <f t="shared" si="47"/>
        <v>0</v>
      </c>
      <c r="Q44" s="238">
        <f t="shared" si="44"/>
        <v>0</v>
      </c>
      <c r="R44" s="239">
        <f t="shared" si="45"/>
        <v>0</v>
      </c>
      <c r="S44" s="238">
        <f t="shared" si="46"/>
        <v>0</v>
      </c>
      <c r="T44" s="265"/>
      <c r="U44" s="265"/>
      <c r="V44" s="265"/>
      <c r="W44" s="257"/>
      <c r="X44" s="257"/>
      <c r="Y44" s="257"/>
      <c r="Z44" s="257"/>
      <c r="AA44" s="257"/>
      <c r="AB44" s="270">
        <f t="shared" si="48"/>
        <v>0</v>
      </c>
      <c r="AC44"/>
    </row>
    <row r="45" spans="2:29" s="1" customFormat="1" x14ac:dyDescent="0.2">
      <c r="H45" s="398" t="s">
        <v>51</v>
      </c>
      <c r="I45" s="399"/>
      <c r="J45" s="255">
        <v>0</v>
      </c>
      <c r="K45" s="258"/>
      <c r="L45" s="258"/>
      <c r="M45" s="258"/>
      <c r="N45" s="260"/>
      <c r="O45" s="248">
        <f t="shared" si="42"/>
        <v>0</v>
      </c>
      <c r="P45" s="246">
        <f t="shared" si="47"/>
        <v>0</v>
      </c>
      <c r="Q45" s="247">
        <f t="shared" si="44"/>
        <v>0</v>
      </c>
      <c r="R45" s="248">
        <f t="shared" si="45"/>
        <v>0</v>
      </c>
      <c r="S45" s="247">
        <f t="shared" si="46"/>
        <v>0</v>
      </c>
      <c r="T45" s="265"/>
      <c r="U45" s="265"/>
      <c r="V45" s="265"/>
      <c r="W45" s="256"/>
      <c r="X45" s="256"/>
      <c r="Y45" s="256"/>
      <c r="Z45" s="256"/>
      <c r="AA45" s="256"/>
      <c r="AB45" s="271">
        <f t="shared" si="48"/>
        <v>0</v>
      </c>
      <c r="AC45"/>
    </row>
    <row r="46" spans="2:29" s="1" customFormat="1" x14ac:dyDescent="0.2"/>
    <row r="47" spans="2:29" s="1" customFormat="1" ht="17" thickBot="1" x14ac:dyDescent="0.25">
      <c r="I47"/>
      <c r="J47"/>
      <c r="K47"/>
      <c r="L47"/>
      <c r="M47"/>
      <c r="N47"/>
    </row>
    <row r="48" spans="2:29" ht="17" thickBot="1" x14ac:dyDescent="0.25">
      <c r="H48" s="175" t="s">
        <v>146</v>
      </c>
      <c r="I48" s="169" t="s">
        <v>43</v>
      </c>
      <c r="J48" s="169" t="s">
        <v>107</v>
      </c>
      <c r="K48" s="175" t="s">
        <v>129</v>
      </c>
      <c r="L48" s="169" t="s">
        <v>130</v>
      </c>
      <c r="M48" s="177" t="s">
        <v>212</v>
      </c>
    </row>
    <row r="49" spans="8:22" ht="17" thickBot="1" x14ac:dyDescent="0.25">
      <c r="H49" s="176">
        <f>I49+J49</f>
        <v>2248</v>
      </c>
      <c r="I49" s="186">
        <f>SUM(I50:I53)</f>
        <v>1393</v>
      </c>
      <c r="J49" s="185">
        <f>SUM(J50:J53)</f>
        <v>855</v>
      </c>
      <c r="K49" s="284">
        <f>SUM(K50:K53)</f>
        <v>88</v>
      </c>
      <c r="L49" s="275">
        <f>SUM(L50:L53)</f>
        <v>1056</v>
      </c>
      <c r="M49" s="276">
        <f>VLOOKUP(AC10,Remises,2)</f>
        <v>50</v>
      </c>
      <c r="S49"/>
      <c r="T49"/>
      <c r="U49"/>
      <c r="V49"/>
    </row>
    <row r="50" spans="8:22" outlineLevel="1" x14ac:dyDescent="0.2">
      <c r="H50" s="163" t="s">
        <v>127</v>
      </c>
      <c r="I50" s="183">
        <f>IF(I5=1,I7,0)</f>
        <v>266</v>
      </c>
      <c r="J50" s="183">
        <f>Hardware!G2</f>
        <v>350</v>
      </c>
      <c r="K50" s="183">
        <f>IF($I$2="Standard",ROUND(('3cx List'!$F$5*Hardware!$G$3/11),0),ROUND(($I$7/11),0))</f>
        <v>24</v>
      </c>
      <c r="L50" s="188">
        <f t="shared" ref="L50:L56" si="49">K50*12</f>
        <v>288</v>
      </c>
      <c r="M50" s="177" t="s">
        <v>247</v>
      </c>
      <c r="S50"/>
      <c r="T50"/>
      <c r="U50"/>
      <c r="V50"/>
    </row>
    <row r="51" spans="8:22" ht="17" outlineLevel="1" thickBot="1" x14ac:dyDescent="0.25">
      <c r="H51" s="163" t="s">
        <v>126</v>
      </c>
      <c r="I51" s="183">
        <f>T10</f>
        <v>970</v>
      </c>
      <c r="J51" s="183">
        <f>R10</f>
        <v>175</v>
      </c>
      <c r="K51" s="183">
        <f>O10</f>
        <v>30</v>
      </c>
      <c r="L51" s="188">
        <f t="shared" si="49"/>
        <v>360</v>
      </c>
      <c r="M51" s="276">
        <f>VLOOKUP(AC10,Remises,3)</f>
        <v>0</v>
      </c>
      <c r="S51"/>
      <c r="T51"/>
      <c r="U51"/>
      <c r="V51"/>
    </row>
    <row r="52" spans="8:22" ht="17" outlineLevel="1" thickBot="1" x14ac:dyDescent="0.25">
      <c r="H52" s="163" t="s">
        <v>143</v>
      </c>
      <c r="I52" s="183">
        <f>T22</f>
        <v>157</v>
      </c>
      <c r="J52" s="183">
        <f>R22</f>
        <v>275</v>
      </c>
      <c r="K52" s="183">
        <f>O22</f>
        <v>19</v>
      </c>
      <c r="L52" s="188">
        <f t="shared" si="49"/>
        <v>228</v>
      </c>
      <c r="O52" s="137">
        <f>+K50+K52</f>
        <v>43</v>
      </c>
      <c r="S52"/>
      <c r="T52"/>
      <c r="U52"/>
      <c r="V52"/>
    </row>
    <row r="53" spans="8:22" ht="17" outlineLevel="1" thickBot="1" x14ac:dyDescent="0.25">
      <c r="H53" s="163" t="s">
        <v>119</v>
      </c>
      <c r="I53" s="184">
        <v>0</v>
      </c>
      <c r="J53" s="183">
        <f>R34</f>
        <v>55</v>
      </c>
      <c r="K53" s="183">
        <f>O34</f>
        <v>15</v>
      </c>
      <c r="L53" s="189">
        <f t="shared" si="49"/>
        <v>180</v>
      </c>
      <c r="M53" s="175" t="s">
        <v>215</v>
      </c>
      <c r="S53"/>
      <c r="T53"/>
      <c r="U53"/>
      <c r="V53"/>
    </row>
    <row r="54" spans="8:22" x14ac:dyDescent="0.2">
      <c r="H54" s="163" t="s">
        <v>136</v>
      </c>
      <c r="I54" s="146">
        <f>IF((U10+U22+J2)=0,0,U10+U22+J2+valeurs!$P$2+valeurs!$Q$2)</f>
        <v>0</v>
      </c>
      <c r="J54" s="171" t="s">
        <v>138</v>
      </c>
      <c r="K54" s="172">
        <f>K49+I54+I55</f>
        <v>88</v>
      </c>
      <c r="L54" s="164">
        <f t="shared" si="49"/>
        <v>1056</v>
      </c>
      <c r="M54" s="282">
        <f>IF($I$9="oui",K54-Hardware!$G$6,travail!K54)</f>
        <v>88</v>
      </c>
      <c r="S54"/>
      <c r="T54"/>
      <c r="U54"/>
      <c r="V54"/>
    </row>
    <row r="55" spans="8:22" x14ac:dyDescent="0.2">
      <c r="H55" s="163" t="s">
        <v>137</v>
      </c>
      <c r="I55" s="146">
        <f>IF((V10+V22+K2)=0,0,V10+V22+K2+valeurs!$P$2+valeurs!$Q$2)</f>
        <v>0</v>
      </c>
      <c r="J55" s="163" t="s">
        <v>139</v>
      </c>
      <c r="K55" s="173">
        <f>K49+I55</f>
        <v>88</v>
      </c>
      <c r="L55" s="164">
        <f t="shared" si="49"/>
        <v>1056</v>
      </c>
      <c r="M55" s="282">
        <f>IF($I$9="oui",K55-Hardware!$G$6,travail!K55)</f>
        <v>88</v>
      </c>
      <c r="S55"/>
      <c r="T55"/>
      <c r="U55"/>
      <c r="V55"/>
    </row>
    <row r="56" spans="8:22" ht="17" thickBot="1" x14ac:dyDescent="0.25">
      <c r="H56" s="163" t="s">
        <v>135</v>
      </c>
      <c r="I56" s="160">
        <f>W10+X10+W22+X22+J2+K2</f>
        <v>0</v>
      </c>
      <c r="J56" s="168" t="s">
        <v>140</v>
      </c>
      <c r="K56" s="174">
        <f>K49</f>
        <v>88</v>
      </c>
      <c r="L56" s="164">
        <f t="shared" si="49"/>
        <v>1056</v>
      </c>
      <c r="M56" s="283">
        <f>IF($I$9="oui",K56-Hardware!$G$6,travail!K56)</f>
        <v>88</v>
      </c>
      <c r="S56"/>
      <c r="T56"/>
      <c r="U56"/>
      <c r="V56"/>
    </row>
    <row r="57" spans="8:22" x14ac:dyDescent="0.2">
      <c r="H57" s="163" t="s">
        <v>133</v>
      </c>
      <c r="I57" s="160">
        <f>(12*I54)+(24*I55)</f>
        <v>0</v>
      </c>
      <c r="J57" s="166"/>
      <c r="K57" s="167"/>
      <c r="L57" s="165"/>
      <c r="N57" s="137"/>
      <c r="S57"/>
      <c r="T57"/>
      <c r="U57"/>
      <c r="V57"/>
    </row>
    <row r="58" spans="8:22" ht="17" thickBot="1" x14ac:dyDescent="0.25">
      <c r="H58" s="163" t="s">
        <v>134</v>
      </c>
      <c r="I58" s="187">
        <f>I57-I56</f>
        <v>0</v>
      </c>
      <c r="J58" s="166"/>
      <c r="K58" s="167"/>
      <c r="L58" s="165"/>
      <c r="S58"/>
      <c r="T58"/>
      <c r="U58"/>
      <c r="V58"/>
    </row>
    <row r="59" spans="8:22" x14ac:dyDescent="0.2">
      <c r="H59" s="177" t="s">
        <v>145</v>
      </c>
      <c r="I59" s="170" t="s">
        <v>43</v>
      </c>
      <c r="J59" s="170" t="s">
        <v>107</v>
      </c>
      <c r="K59" s="170" t="s">
        <v>129</v>
      </c>
      <c r="L59" s="177" t="s">
        <v>130</v>
      </c>
      <c r="S59"/>
      <c r="T59"/>
      <c r="U59"/>
      <c r="V59"/>
    </row>
    <row r="60" spans="8:22" ht="17" thickBot="1" x14ac:dyDescent="0.25">
      <c r="H60" s="178">
        <f>IF($I$5=1,I60+J60,0)-M49</f>
        <v>1183.5999999999999</v>
      </c>
      <c r="I60" s="141">
        <f>IF($I$5=1,SUM(I61:I63),0)</f>
        <v>378.6</v>
      </c>
      <c r="J60" s="141">
        <f>IF($I$5=1,J49,0)</f>
        <v>855</v>
      </c>
      <c r="K60" s="141">
        <f>IF($I$5=1,SUM(K61:K65),0)</f>
        <v>69.158333333333331</v>
      </c>
      <c r="L60" s="179">
        <f>K60*12</f>
        <v>829.9</v>
      </c>
      <c r="S60"/>
      <c r="T60"/>
      <c r="U60"/>
      <c r="V60"/>
    </row>
    <row r="61" spans="8:22" outlineLevel="1" x14ac:dyDescent="0.2">
      <c r="H61" s="161" t="s">
        <v>127</v>
      </c>
      <c r="I61" s="160">
        <f>IF($I$5=1,I50*Hardware!$G$4,0)</f>
        <v>39.9</v>
      </c>
      <c r="J61" s="160">
        <f>IF($I$5=1,J50,0)</f>
        <v>350</v>
      </c>
      <c r="K61" s="160">
        <f>IF($I$5=1,K50-((I50-I61)/12),0)</f>
        <v>5.158333333333335</v>
      </c>
      <c r="L61" s="162">
        <f t="shared" ref="L61:L64" si="50">K61*12</f>
        <v>61.90000000000002</v>
      </c>
    </row>
    <row r="62" spans="8:22" outlineLevel="1" x14ac:dyDescent="0.2">
      <c r="H62" s="161" t="s">
        <v>126</v>
      </c>
      <c r="I62" s="160">
        <f>IF($I$5=1,AA10,0)</f>
        <v>291.70000000000005</v>
      </c>
      <c r="J62" s="160">
        <f>IF($I$5=1,J51,0)</f>
        <v>175</v>
      </c>
      <c r="K62" s="160">
        <f>IF($I$5=1,K51,0)</f>
        <v>30</v>
      </c>
      <c r="L62" s="162">
        <f t="shared" si="50"/>
        <v>360</v>
      </c>
      <c r="M62"/>
    </row>
    <row r="63" spans="8:22" outlineLevel="1" x14ac:dyDescent="0.2">
      <c r="H63" s="161" t="s">
        <v>143</v>
      </c>
      <c r="I63" s="160">
        <f>IF($I$5=1,AA22,0)</f>
        <v>47</v>
      </c>
      <c r="J63" s="160">
        <f>IF($I$5=1,J52,0)</f>
        <v>275</v>
      </c>
      <c r="K63" s="160">
        <f>IF($I$5=1,K52,0)</f>
        <v>19</v>
      </c>
      <c r="L63" s="162">
        <f t="shared" si="50"/>
        <v>228</v>
      </c>
      <c r="M63"/>
    </row>
    <row r="64" spans="8:22" outlineLevel="1" x14ac:dyDescent="0.2">
      <c r="H64" s="161" t="s">
        <v>119</v>
      </c>
      <c r="I64" s="166"/>
      <c r="J64" s="160">
        <f>IF($I$5=1,J53,0)</f>
        <v>55</v>
      </c>
      <c r="K64" s="160">
        <f>IF($I$5=1,K53,0)</f>
        <v>15</v>
      </c>
      <c r="L64" s="162">
        <f t="shared" si="50"/>
        <v>180</v>
      </c>
      <c r="M64"/>
    </row>
    <row r="65" spans="8:12" ht="17" thickBot="1" x14ac:dyDescent="0.25">
      <c r="H65" s="285" t="s">
        <v>215</v>
      </c>
      <c r="I65" s="286"/>
      <c r="J65" s="286"/>
      <c r="K65" s="288">
        <f>IF(I9="oui",-Hardware!G6,0)</f>
        <v>0</v>
      </c>
      <c r="L65" s="287"/>
    </row>
    <row r="66" spans="8:12" x14ac:dyDescent="0.2">
      <c r="H66"/>
    </row>
  </sheetData>
  <mergeCells count="34">
    <mergeCell ref="H27:I27"/>
    <mergeCell ref="H28:I28"/>
    <mergeCell ref="H29:I29"/>
    <mergeCell ref="O10:Q10"/>
    <mergeCell ref="R10:S10"/>
    <mergeCell ref="O11:Q11"/>
    <mergeCell ref="R11:S11"/>
    <mergeCell ref="H24:I24"/>
    <mergeCell ref="O22:Q22"/>
    <mergeCell ref="R22:S22"/>
    <mergeCell ref="O23:Q23"/>
    <mergeCell ref="R23:S23"/>
    <mergeCell ref="H23:I23"/>
    <mergeCell ref="H38:I38"/>
    <mergeCell ref="H39:I39"/>
    <mergeCell ref="H30:I30"/>
    <mergeCell ref="H31:I31"/>
    <mergeCell ref="H32:I32"/>
    <mergeCell ref="H45:I45"/>
    <mergeCell ref="O35:Q35"/>
    <mergeCell ref="R35:S35"/>
    <mergeCell ref="H44:I44"/>
    <mergeCell ref="H25:I25"/>
    <mergeCell ref="H26:I26"/>
    <mergeCell ref="H33:I33"/>
    <mergeCell ref="O34:Q34"/>
    <mergeCell ref="R34:S34"/>
    <mergeCell ref="H40:I40"/>
    <mergeCell ref="H41:I41"/>
    <mergeCell ref="H42:I42"/>
    <mergeCell ref="H43:I43"/>
    <mergeCell ref="H35:I35"/>
    <mergeCell ref="H36:I36"/>
    <mergeCell ref="H37:I37"/>
  </mergeCells>
  <dataValidations count="13">
    <dataValidation type="list" allowBlank="1" showErrorMessage="1" sqref="N2:P2" xr:uid="{DB5CC6A4-72A3-7E4B-814E-93D89EEB2979}">
      <formula1>Licence</formula1>
    </dataValidation>
    <dataValidation type="list" allowBlank="1" showInputMessage="1" showErrorMessage="1" sqref="I12:I19" xr:uid="{E2508DE9-AF0F-614E-B0BA-02DFA1EFCCA3}">
      <formula1>INDIRECT(H12)</formula1>
    </dataValidation>
    <dataValidation type="list" allowBlank="1" showErrorMessage="1" promptTitle="LVoip" prompt="oui / non" sqref="B2:B19" xr:uid="{4B401F88-E198-DF40-856C-ED18D5B2EBD7}">
      <formula1>Choix</formula1>
    </dataValidation>
    <dataValidation type="list" allowBlank="1" showErrorMessage="1" sqref="H12:H19" xr:uid="{DB7DCA78-E5CE-3346-823C-712028BBFF35}">
      <formula1>IF(AND(I12="-",L12=1),Marques,INDIRECT("FakeRange"))</formula1>
    </dataValidation>
    <dataValidation type="list" allowBlank="1" showErrorMessage="1" sqref="N5:P5" xr:uid="{A017D3BD-68C3-574D-A8BF-66F86C0B828C}">
      <formula1>Finance3</formula1>
    </dataValidation>
    <dataValidation type="list" allowBlank="1" showErrorMessage="1" sqref="H24:H33" xr:uid="{E07FCF02-C93A-2848-AB1C-7F035204DD2A}">
      <formula1>Hardware</formula1>
    </dataValidation>
    <dataValidation type="list" allowBlank="1" showErrorMessage="1" sqref="I3 N3:P3" xr:uid="{4062E645-6FEE-F941-AAD6-2FED731F3013}">
      <formula1>IF(I4=0,Type,INDIRECT("FakeRange"))</formula1>
    </dataValidation>
    <dataValidation type="list" allowBlank="1" showErrorMessage="1" sqref="I4 N4:P4" xr:uid="{66CDD00B-017B-C24C-8A48-7D8A2AB4405E}">
      <formula1>INDIRECT(I3)</formula1>
    </dataValidation>
    <dataValidation type="list" allowBlank="1" showErrorMessage="1" sqref="N6:P6" xr:uid="{6CAA9AF0-4056-9A44-9E7D-EB1269B209B1}">
      <formula1>Durée</formula1>
    </dataValidation>
    <dataValidation type="list" allowBlank="1" showErrorMessage="1" sqref="L36 I5" xr:uid="{14CF4363-A6CA-B64E-AFD5-29A2883FE295}">
      <formula1>Finance2</formula1>
    </dataValidation>
    <dataValidation type="whole" allowBlank="1" showErrorMessage="1" sqref="J22 J36:J45 J12:J19 J24:J33" xr:uid="{89537031-35BB-A74E-BCA3-C51ED3745548}">
      <formula1>0</formula1>
      <formula2>50</formula2>
    </dataValidation>
    <dataValidation type="whole" allowBlank="1" showErrorMessage="1" sqref="I6" xr:uid="{296E88BE-B80C-6644-B532-6E07B5529DFC}">
      <formula1>1</formula1>
      <formula2>1</formula2>
    </dataValidation>
    <dataValidation type="list" allowBlank="1" showErrorMessage="1" sqref="H36:I45" xr:uid="{0748FF8D-48BC-C34A-BCC4-157CBE0E3957}">
      <formula1>Profils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D12B0-4257-B645-893F-EFB37B7BFDC7}">
  <sheetPr codeName="Sheet8"/>
  <dimension ref="B1:P52"/>
  <sheetViews>
    <sheetView tabSelected="1" view="pageLayout" zoomScaleNormal="100" workbookViewId="0">
      <selection activeCell="C6" sqref="C6"/>
    </sheetView>
  </sheetViews>
  <sheetFormatPr baseColWidth="10" defaultColWidth="10.83203125" defaultRowHeight="17" x14ac:dyDescent="0.2"/>
  <cols>
    <col min="1" max="1" width="8.83203125" style="317" customWidth="1"/>
    <col min="2" max="3" width="26.6640625" style="317" customWidth="1"/>
    <col min="4" max="4" width="8.33203125" style="317" customWidth="1"/>
    <col min="5" max="5" width="12.5" style="317" customWidth="1"/>
    <col min="6" max="6" width="8.83203125" style="368" customWidth="1"/>
    <col min="7" max="7" width="8.83203125" style="317" customWidth="1"/>
    <col min="8" max="8" width="45.5" style="321" bestFit="1" customWidth="1"/>
    <col min="9" max="9" width="10.83203125" style="321"/>
    <col min="10" max="10" width="10.83203125" style="320"/>
    <col min="11" max="11" width="10.83203125" style="364"/>
    <col min="12" max="12" width="10.83203125" style="365"/>
    <col min="13" max="16384" width="10.83203125" style="317"/>
  </cols>
  <sheetData>
    <row r="1" spans="2:13" ht="55" customHeight="1" x14ac:dyDescent="0.2">
      <c r="B1" s="417"/>
      <c r="C1" s="417"/>
      <c r="D1" s="417"/>
      <c r="E1" s="417"/>
    </row>
    <row r="2" spans="2:13" ht="28" customHeight="1" x14ac:dyDescent="0.2">
      <c r="B2" s="412" t="s">
        <v>269</v>
      </c>
      <c r="C2" s="412"/>
      <c r="D2" s="412"/>
      <c r="E2" s="412"/>
      <c r="F2" s="356"/>
    </row>
    <row r="3" spans="2:13" ht="28" customHeight="1" x14ac:dyDescent="0.2">
      <c r="B3" s="418" t="s">
        <v>309</v>
      </c>
      <c r="C3" s="418"/>
      <c r="D3" s="418"/>
      <c r="E3" s="418"/>
      <c r="F3" s="356"/>
      <c r="M3" s="339"/>
    </row>
    <row r="4" spans="2:13" ht="28" customHeight="1" x14ac:dyDescent="0.2">
      <c r="B4" s="420"/>
      <c r="C4" s="420"/>
      <c r="D4" s="420"/>
      <c r="E4" s="420"/>
      <c r="F4" s="356"/>
    </row>
    <row r="5" spans="2:13" x14ac:dyDescent="0.2">
      <c r="B5" s="322" t="s">
        <v>267</v>
      </c>
      <c r="C5" s="316" t="str">
        <f>travail!I2</f>
        <v>Entreprise</v>
      </c>
      <c r="D5" s="419"/>
      <c r="E5" s="419"/>
    </row>
    <row r="6" spans="2:13" x14ac:dyDescent="0.2">
      <c r="B6" s="322" t="s">
        <v>265</v>
      </c>
      <c r="C6" s="353">
        <v>4</v>
      </c>
      <c r="E6" s="323"/>
    </row>
    <row r="7" spans="2:13" x14ac:dyDescent="0.2">
      <c r="B7" s="359" t="s">
        <v>266</v>
      </c>
      <c r="C7" s="358">
        <v>1</v>
      </c>
      <c r="E7" s="323"/>
    </row>
    <row r="8" spans="2:13" ht="12" customHeight="1" x14ac:dyDescent="0.2"/>
    <row r="9" spans="2:13" ht="18" customHeight="1" x14ac:dyDescent="0.2">
      <c r="B9" s="354" t="s">
        <v>41</v>
      </c>
      <c r="C9" s="355" t="s">
        <v>42</v>
      </c>
      <c r="D9" s="324" t="s">
        <v>114</v>
      </c>
      <c r="E9" s="325" t="s">
        <v>208</v>
      </c>
      <c r="F9" s="373"/>
      <c r="G9" s="330"/>
      <c r="I9" s="326"/>
      <c r="K9" s="362" t="str">
        <f>IF($M$3=3333,"Inst.","")</f>
        <v/>
      </c>
      <c r="L9" s="363" t="str">
        <f>IF($M$3=3333,"Abo.","")</f>
        <v/>
      </c>
    </row>
    <row r="10" spans="2:13" x14ac:dyDescent="0.2">
      <c r="B10" s="352" t="s">
        <v>39</v>
      </c>
      <c r="C10" s="353" t="s">
        <v>185</v>
      </c>
      <c r="D10" s="336">
        <v>5</v>
      </c>
      <c r="E10" s="327">
        <f>travail!K12</f>
        <v>194</v>
      </c>
      <c r="F10" s="328" t="str">
        <f t="shared" ref="F10:F17" si="0">IF(AND(B10&lt;&gt;"-",C10&lt;&gt;"-"),HYPERLINK(VLOOKUP(C10,PrixTel,14,FALSE),"PDF"),"")</f>
        <v>PDF</v>
      </c>
      <c r="G10" s="330"/>
      <c r="H10" s="340" t="str">
        <f t="shared" ref="H10:H17" si="1">IF(AND(B10&lt;&gt;"-",C10&lt;&gt;"-"),VLOOKUP(C10,PrixTel,14,FALSE),"")</f>
        <v>https://lvoip.lu/3cx/Snom/pdf/D385.pdf</v>
      </c>
      <c r="I10" s="328"/>
      <c r="K10" s="371" t="str">
        <f>IF($M$3=3333,travail!R12,"")</f>
        <v/>
      </c>
      <c r="L10" s="374" t="str">
        <f>IF($M$3=3333,travail!O12,"")</f>
        <v/>
      </c>
    </row>
    <row r="11" spans="2:13" x14ac:dyDescent="0.2">
      <c r="B11" s="352" t="s">
        <v>51</v>
      </c>
      <c r="C11" s="353" t="s">
        <v>51</v>
      </c>
      <c r="D11" s="336">
        <v>0</v>
      </c>
      <c r="E11" s="327">
        <f>travail!K13</f>
        <v>0</v>
      </c>
      <c r="F11" s="328" t="str">
        <f t="shared" si="0"/>
        <v/>
      </c>
      <c r="G11" s="330"/>
      <c r="H11" s="340" t="str">
        <f t="shared" si="1"/>
        <v/>
      </c>
      <c r="I11" s="328"/>
      <c r="K11" s="371" t="str">
        <f>IF($M$3=3333,travail!R13,"")</f>
        <v/>
      </c>
      <c r="L11" s="374" t="str">
        <f>IF($M$3=3333,travail!O13,"")</f>
        <v/>
      </c>
    </row>
    <row r="12" spans="2:13" x14ac:dyDescent="0.2">
      <c r="B12" s="352" t="s">
        <v>51</v>
      </c>
      <c r="C12" s="353" t="s">
        <v>51</v>
      </c>
      <c r="D12" s="336">
        <v>0</v>
      </c>
      <c r="E12" s="327">
        <f>travail!K14</f>
        <v>0</v>
      </c>
      <c r="F12" s="328" t="str">
        <f t="shared" si="0"/>
        <v/>
      </c>
      <c r="G12" s="330"/>
      <c r="H12" s="340" t="str">
        <f t="shared" si="1"/>
        <v/>
      </c>
      <c r="I12" s="328" t="str">
        <f t="shared" ref="I12:I17" si="2">IF(AND(B12&lt;&gt;"-",C12&lt;&gt;"-"),HYPERLINK(VLOOKUP(C12,PrixTel,14,FALSE),"PDF"),"")</f>
        <v/>
      </c>
      <c r="K12" s="371" t="str">
        <f>IF($M$3=3333,travail!R14,"")</f>
        <v/>
      </c>
      <c r="L12" s="374" t="str">
        <f>IF($M$3=3333,travail!O14,"")</f>
        <v/>
      </c>
    </row>
    <row r="13" spans="2:13" x14ac:dyDescent="0.2">
      <c r="B13" s="352" t="s">
        <v>51</v>
      </c>
      <c r="C13" s="353" t="s">
        <v>51</v>
      </c>
      <c r="D13" s="336">
        <v>0</v>
      </c>
      <c r="E13" s="327">
        <f>travail!K15</f>
        <v>0</v>
      </c>
      <c r="F13" s="328" t="str">
        <f t="shared" si="0"/>
        <v/>
      </c>
      <c r="G13" s="330"/>
      <c r="H13" s="340" t="str">
        <f t="shared" si="1"/>
        <v/>
      </c>
      <c r="I13" s="328" t="str">
        <f t="shared" si="2"/>
        <v/>
      </c>
      <c r="K13" s="371" t="str">
        <f>IF($M$3=3333,travail!R15,"")</f>
        <v/>
      </c>
      <c r="L13" s="374" t="str">
        <f>IF($M$3=3333,travail!O15,"")</f>
        <v/>
      </c>
    </row>
    <row r="14" spans="2:13" x14ac:dyDescent="0.2">
      <c r="B14" s="352" t="s">
        <v>51</v>
      </c>
      <c r="C14" s="353" t="s">
        <v>51</v>
      </c>
      <c r="D14" s="336">
        <v>0</v>
      </c>
      <c r="E14" s="327">
        <f>travail!K16</f>
        <v>0</v>
      </c>
      <c r="F14" s="328" t="str">
        <f t="shared" si="0"/>
        <v/>
      </c>
      <c r="G14" s="330"/>
      <c r="H14" s="340" t="str">
        <f t="shared" si="1"/>
        <v/>
      </c>
      <c r="I14" s="328" t="str">
        <f t="shared" si="2"/>
        <v/>
      </c>
      <c r="K14" s="371" t="str">
        <f>IF($M$3=3333,travail!R16,"")</f>
        <v/>
      </c>
      <c r="L14" s="374" t="str">
        <f>IF($M$3=3333,travail!O16,"")</f>
        <v/>
      </c>
    </row>
    <row r="15" spans="2:13" x14ac:dyDescent="0.2">
      <c r="B15" s="352" t="s">
        <v>51</v>
      </c>
      <c r="C15" s="353" t="s">
        <v>51</v>
      </c>
      <c r="D15" s="336">
        <v>0</v>
      </c>
      <c r="E15" s="327">
        <f>travail!K17</f>
        <v>0</v>
      </c>
      <c r="F15" s="328" t="str">
        <f t="shared" si="0"/>
        <v/>
      </c>
      <c r="G15" s="330"/>
      <c r="H15" s="340" t="str">
        <f t="shared" si="1"/>
        <v/>
      </c>
      <c r="I15" s="328" t="str">
        <f t="shared" si="2"/>
        <v/>
      </c>
      <c r="J15" s="317"/>
      <c r="K15" s="371" t="str">
        <f>IF($M$3=3333,travail!R17,"")</f>
        <v/>
      </c>
      <c r="L15" s="374" t="str">
        <f>IF($M$3=3333,travail!O17,"")</f>
        <v/>
      </c>
    </row>
    <row r="16" spans="2:13" x14ac:dyDescent="0.2">
      <c r="B16" s="352" t="s">
        <v>51</v>
      </c>
      <c r="C16" s="353" t="s">
        <v>51</v>
      </c>
      <c r="D16" s="336">
        <v>0</v>
      </c>
      <c r="E16" s="327">
        <f>travail!K18</f>
        <v>0</v>
      </c>
      <c r="F16" s="328" t="str">
        <f t="shared" si="0"/>
        <v/>
      </c>
      <c r="G16" s="330"/>
      <c r="H16" s="340" t="str">
        <f t="shared" si="1"/>
        <v/>
      </c>
      <c r="I16" s="328" t="str">
        <f t="shared" si="2"/>
        <v/>
      </c>
      <c r="J16" s="317"/>
      <c r="K16" s="371" t="str">
        <f>IF($M$3=3333,travail!R18,"")</f>
        <v/>
      </c>
      <c r="L16" s="374" t="str">
        <f>IF($M$3=3333,travail!O18,"")</f>
        <v/>
      </c>
    </row>
    <row r="17" spans="2:16" x14ac:dyDescent="0.2">
      <c r="B17" s="350" t="s">
        <v>51</v>
      </c>
      <c r="C17" s="351" t="s">
        <v>51</v>
      </c>
      <c r="D17" s="337">
        <v>0</v>
      </c>
      <c r="E17" s="329">
        <f>travail!K19</f>
        <v>0</v>
      </c>
      <c r="F17" s="328" t="str">
        <f t="shared" si="0"/>
        <v/>
      </c>
      <c r="G17" s="330"/>
      <c r="H17" s="340" t="str">
        <f t="shared" si="1"/>
        <v/>
      </c>
      <c r="I17" s="328" t="str">
        <f t="shared" si="2"/>
        <v/>
      </c>
      <c r="K17" s="371" t="str">
        <f>IF($M$3=3333,travail!R19,"")</f>
        <v/>
      </c>
      <c r="L17" s="374" t="str">
        <f>IF($M$3=3333,travail!O19,"")</f>
        <v/>
      </c>
    </row>
    <row r="18" spans="2:16" ht="12" customHeight="1" x14ac:dyDescent="0.2">
      <c r="F18" s="373"/>
      <c r="G18" s="330"/>
      <c r="K18" s="363"/>
      <c r="L18" s="366"/>
    </row>
    <row r="19" spans="2:16" ht="18" customHeight="1" x14ac:dyDescent="0.2">
      <c r="B19" s="415" t="s">
        <v>271</v>
      </c>
      <c r="C19" s="416"/>
      <c r="D19" s="324" t="s">
        <v>272</v>
      </c>
      <c r="E19" s="325" t="s">
        <v>208</v>
      </c>
      <c r="F19" s="373"/>
      <c r="G19" s="330"/>
      <c r="H19" s="360" t="str">
        <f>IF(M3=3333,travail!AC10,"")</f>
        <v/>
      </c>
      <c r="I19" s="315" t="str">
        <f>IF(M3=3333,travail!AC11,"")</f>
        <v/>
      </c>
      <c r="K19" s="362" t="str">
        <f>IF($M$3=3333,"Inst.","")</f>
        <v/>
      </c>
      <c r="L19" s="366"/>
    </row>
    <row r="20" spans="2:16" x14ac:dyDescent="0.2">
      <c r="B20" s="413" t="s">
        <v>101</v>
      </c>
      <c r="C20" s="414"/>
      <c r="D20" s="336">
        <v>1</v>
      </c>
      <c r="E20" s="327">
        <f>travail!K24</f>
        <v>157</v>
      </c>
      <c r="F20" s="373"/>
      <c r="G20" s="330"/>
      <c r="H20" s="316"/>
      <c r="I20" s="316" t="str">
        <f>IF(M3=3333,"Marge","")</f>
        <v/>
      </c>
      <c r="J20" s="330"/>
      <c r="K20" s="372" t="str">
        <f>IF($M$3=3333,travail!R24,"")</f>
        <v/>
      </c>
      <c r="L20" s="366"/>
    </row>
    <row r="21" spans="2:16" x14ac:dyDescent="0.2">
      <c r="B21" s="413" t="s">
        <v>51</v>
      </c>
      <c r="C21" s="414"/>
      <c r="D21" s="336">
        <v>0</v>
      </c>
      <c r="E21" s="327">
        <f>travail!K25</f>
        <v>0</v>
      </c>
      <c r="F21" s="373"/>
      <c r="G21" s="330"/>
      <c r="H21" s="318" t="str">
        <f>IF(M3=3333,travail!I60,"")</f>
        <v/>
      </c>
      <c r="I21" s="317" t="str">
        <f>IF(M3=3333,"Matos","")</f>
        <v/>
      </c>
      <c r="J21" s="330"/>
      <c r="K21" s="372" t="str">
        <f>IF($M$3=3333,travail!R25,"")</f>
        <v/>
      </c>
      <c r="L21" s="366"/>
    </row>
    <row r="22" spans="2:16" x14ac:dyDescent="0.2">
      <c r="B22" s="413" t="s">
        <v>51</v>
      </c>
      <c r="C22" s="414"/>
      <c r="D22" s="336">
        <v>0</v>
      </c>
      <c r="E22" s="327">
        <f>travail!K26</f>
        <v>0</v>
      </c>
      <c r="F22" s="373"/>
      <c r="G22" s="330"/>
      <c r="H22" s="318" t="str">
        <f>IF(M3=3333,travail!J60,"")</f>
        <v/>
      </c>
      <c r="I22" s="317" t="str">
        <f>IF(M3=3333,"Install","")</f>
        <v/>
      </c>
      <c r="J22" s="330"/>
      <c r="K22" s="372" t="str">
        <f>IF($M$3=3333,travail!R26,"")</f>
        <v/>
      </c>
      <c r="L22" s="366"/>
    </row>
    <row r="23" spans="2:16" x14ac:dyDescent="0.2">
      <c r="B23" s="413" t="s">
        <v>51</v>
      </c>
      <c r="C23" s="414"/>
      <c r="D23" s="336">
        <v>0</v>
      </c>
      <c r="E23" s="327">
        <f>travail!K27</f>
        <v>0</v>
      </c>
      <c r="F23" s="373"/>
      <c r="G23" s="330"/>
      <c r="H23" s="318" t="str">
        <f>IF(M3=3333,travail!L60,"")</f>
        <v/>
      </c>
      <c r="I23" s="317" t="str">
        <f>IF(M3=3333,"Récurent","")</f>
        <v/>
      </c>
      <c r="J23" s="330"/>
      <c r="K23" s="372" t="str">
        <f>IF($M$3=3333,travail!R27,"")</f>
        <v/>
      </c>
      <c r="L23" s="366"/>
    </row>
    <row r="24" spans="2:16" x14ac:dyDescent="0.2">
      <c r="B24" s="410" t="s">
        <v>51</v>
      </c>
      <c r="C24" s="411"/>
      <c r="D24" s="337">
        <v>0</v>
      </c>
      <c r="E24" s="329">
        <f>travail!K28</f>
        <v>0</v>
      </c>
      <c r="F24" s="373"/>
      <c r="G24" s="330"/>
      <c r="H24" s="318" t="str">
        <f>IF(M3=3333,travail!M51,"")</f>
        <v/>
      </c>
      <c r="I24" s="319" t="str">
        <f>IF(M3=3333,"Volume","")</f>
        <v/>
      </c>
      <c r="J24" s="330"/>
      <c r="K24" s="372" t="str">
        <f>IF($M$3=3333,travail!R28,"")</f>
        <v/>
      </c>
      <c r="L24" s="366"/>
    </row>
    <row r="25" spans="2:16" ht="12" customHeight="1" x14ac:dyDescent="0.2">
      <c r="F25" s="373"/>
      <c r="G25" s="330"/>
      <c r="H25" s="318"/>
      <c r="I25" s="320"/>
      <c r="J25" s="330"/>
      <c r="K25" s="366"/>
      <c r="L25" s="366"/>
    </row>
    <row r="26" spans="2:16" ht="18" customHeight="1" x14ac:dyDescent="0.2">
      <c r="B26" s="415" t="s">
        <v>119</v>
      </c>
      <c r="C26" s="416"/>
      <c r="D26" s="324" t="s">
        <v>114</v>
      </c>
      <c r="E26" s="325" t="s">
        <v>208</v>
      </c>
      <c r="F26" s="373"/>
      <c r="G26" s="330"/>
      <c r="K26" s="363"/>
      <c r="L26" s="363" t="str">
        <f>IF($M$3=3333,"Abo.","")</f>
        <v/>
      </c>
      <c r="M26" s="330"/>
      <c r="N26" s="330"/>
      <c r="O26" s="330"/>
    </row>
    <row r="27" spans="2:16" x14ac:dyDescent="0.2">
      <c r="B27" s="413" t="s">
        <v>154</v>
      </c>
      <c r="C27" s="414"/>
      <c r="D27" s="336">
        <v>1</v>
      </c>
      <c r="E27" s="327">
        <f>travail!R36</f>
        <v>25</v>
      </c>
      <c r="F27" s="373"/>
      <c r="G27" s="330"/>
      <c r="H27" s="326"/>
      <c r="I27" s="326" t="str">
        <f>travail!AB35</f>
        <v>ProfCount</v>
      </c>
      <c r="J27" s="330"/>
      <c r="K27" s="366"/>
      <c r="L27" s="372" t="str">
        <f>IF($M$3=3333,travail!O36,"")</f>
        <v/>
      </c>
      <c r="M27" s="330"/>
      <c r="N27" s="330"/>
      <c r="O27" s="330"/>
    </row>
    <row r="28" spans="2:16" x14ac:dyDescent="0.2">
      <c r="B28" s="413" t="s">
        <v>118</v>
      </c>
      <c r="C28" s="414"/>
      <c r="D28" s="336">
        <v>1</v>
      </c>
      <c r="E28" s="327">
        <f>travail!R37</f>
        <v>15</v>
      </c>
      <c r="F28" s="373"/>
      <c r="G28" s="330"/>
      <c r="H28" s="326"/>
      <c r="I28" s="326">
        <f>travail!AB10-travail!AB34</f>
        <v>0</v>
      </c>
      <c r="J28" s="330"/>
      <c r="K28" s="366"/>
      <c r="L28" s="372" t="str">
        <f>IF($M$3=3333,travail!O37,"")</f>
        <v/>
      </c>
      <c r="M28" s="330"/>
      <c r="N28" s="330"/>
      <c r="O28" s="330"/>
    </row>
    <row r="29" spans="2:16" x14ac:dyDescent="0.2">
      <c r="B29" s="413" t="s">
        <v>117</v>
      </c>
      <c r="C29" s="414"/>
      <c r="D29" s="336">
        <v>3</v>
      </c>
      <c r="E29" s="327">
        <f>travail!R38</f>
        <v>5</v>
      </c>
      <c r="F29" s="373"/>
      <c r="G29" s="330"/>
      <c r="J29" s="330"/>
      <c r="K29" s="366"/>
      <c r="L29" s="372" t="str">
        <f>IF($M$3=3333,travail!O38,"")</f>
        <v/>
      </c>
      <c r="M29" s="330"/>
      <c r="N29" s="330"/>
      <c r="O29" s="330"/>
      <c r="P29" s="330"/>
    </row>
    <row r="30" spans="2:16" x14ac:dyDescent="0.2">
      <c r="B30" s="413" t="s">
        <v>51</v>
      </c>
      <c r="C30" s="414"/>
      <c r="D30" s="336">
        <v>0</v>
      </c>
      <c r="E30" s="327">
        <f>travail!R39</f>
        <v>0</v>
      </c>
      <c r="F30" s="373"/>
      <c r="G30" s="330"/>
      <c r="J30" s="330"/>
      <c r="K30" s="366"/>
      <c r="L30" s="372" t="str">
        <f>IF($M$3=3333,travail!O39,"")</f>
        <v/>
      </c>
      <c r="M30" s="330"/>
      <c r="N30" s="330"/>
      <c r="O30" s="330"/>
      <c r="P30" s="330"/>
    </row>
    <row r="31" spans="2:16" x14ac:dyDescent="0.2">
      <c r="B31" s="413" t="s">
        <v>51</v>
      </c>
      <c r="C31" s="414"/>
      <c r="D31" s="336">
        <v>0</v>
      </c>
      <c r="E31" s="327">
        <f>travail!R40</f>
        <v>0</v>
      </c>
      <c r="F31" s="373"/>
      <c r="G31" s="330"/>
      <c r="J31" s="330"/>
      <c r="K31" s="366"/>
      <c r="L31" s="372" t="str">
        <f>IF($M$3=3333,travail!O40,"")</f>
        <v/>
      </c>
      <c r="M31" s="330"/>
      <c r="N31" s="330"/>
      <c r="O31" s="330"/>
      <c r="P31" s="330"/>
    </row>
    <row r="32" spans="2:16" x14ac:dyDescent="0.2">
      <c r="B32" s="410" t="s">
        <v>51</v>
      </c>
      <c r="C32" s="411"/>
      <c r="D32" s="337">
        <v>0</v>
      </c>
      <c r="E32" s="329">
        <f>travail!R41</f>
        <v>0</v>
      </c>
      <c r="F32" s="373"/>
      <c r="G32" s="330"/>
      <c r="K32" s="367"/>
      <c r="L32" s="372" t="str">
        <f>IF($M$3=3333,travail!O41,"")</f>
        <v/>
      </c>
      <c r="M32" s="330"/>
      <c r="N32" s="330"/>
      <c r="O32" s="330"/>
      <c r="P32" s="330"/>
    </row>
    <row r="33" spans="2:16" x14ac:dyDescent="0.2">
      <c r="K33" s="367"/>
      <c r="L33" s="366"/>
      <c r="M33" s="330"/>
      <c r="N33" s="330"/>
      <c r="O33" s="330"/>
      <c r="P33" s="330"/>
    </row>
    <row r="34" spans="2:16" x14ac:dyDescent="0.2">
      <c r="B34" s="357" t="str">
        <f>"Montant financé:  " &amp; TEXT(IF(C7&lt;&gt;1,travail!I56,0),"#.##0,00")</f>
        <v>Montant financé:  0,00</v>
      </c>
      <c r="D34" s="331" t="s">
        <v>273</v>
      </c>
      <c r="E34" s="318">
        <f>travail!I49</f>
        <v>1393</v>
      </c>
      <c r="F34" s="369"/>
      <c r="G34" s="361"/>
      <c r="H34" s="332"/>
      <c r="I34" s="332"/>
      <c r="K34" s="366" t="str">
        <f>IF($M$3=3333,"Inf.","")</f>
        <v/>
      </c>
      <c r="L34" s="366" t="str">
        <f>IF($M$3=3333,"Inf.","")</f>
        <v/>
      </c>
      <c r="M34" s="330"/>
      <c r="N34" s="330"/>
      <c r="O34" s="330"/>
      <c r="P34" s="330"/>
    </row>
    <row r="35" spans="2:16" x14ac:dyDescent="0.2">
      <c r="B35" s="358" t="str">
        <f>"Coût du financement:  " &amp; TEXT(travail!I58,"#.##0,00")</f>
        <v>Coût du financement:  0,00</v>
      </c>
      <c r="D35" s="331" t="s">
        <v>205</v>
      </c>
      <c r="E35" s="318">
        <f>travail!J49</f>
        <v>855</v>
      </c>
      <c r="F35" s="369"/>
      <c r="G35" s="318"/>
      <c r="I35" s="330"/>
      <c r="K35" s="371" t="str">
        <f>IF($M$3=3333,travail!J50+travail!J52,"")</f>
        <v/>
      </c>
      <c r="L35" s="371" t="str">
        <f>IF($M$3=3333,travail!K50+travail!K52,"")</f>
        <v/>
      </c>
    </row>
    <row r="36" spans="2:16" x14ac:dyDescent="0.2">
      <c r="B36" s="358" t="str">
        <f>"Mensualité 1ère année:  " &amp; TEXT(travail!M54,"#.##0,00")</f>
        <v>Mensualité 1ère année:  88,00</v>
      </c>
      <c r="D36" s="331" t="s">
        <v>213</v>
      </c>
      <c r="E36" s="318">
        <f>travail!M49</f>
        <v>50</v>
      </c>
      <c r="F36" s="369"/>
      <c r="I36" s="330"/>
      <c r="K36" s="366" t="str">
        <f>IF($M$3=3333,"3cx.","")</f>
        <v/>
      </c>
      <c r="L36" s="366"/>
    </row>
    <row r="37" spans="2:16" x14ac:dyDescent="0.2">
      <c r="B37" s="358" t="str">
        <f>"Mensualité 2ème année:  " &amp; TEXT(travail!M55,"#.##0,00")</f>
        <v>Mensualité 2ème année:  88,00</v>
      </c>
      <c r="D37" s="331" t="s">
        <v>206</v>
      </c>
      <c r="E37" s="333">
        <f>E34+E35-E36</f>
        <v>2198</v>
      </c>
      <c r="F37" s="370"/>
      <c r="I37" s="330"/>
      <c r="K37" s="371" t="str">
        <f>IF($M$3=3333,travail!I50,"")</f>
        <v/>
      </c>
      <c r="L37" s="366"/>
    </row>
    <row r="38" spans="2:16" x14ac:dyDescent="0.2">
      <c r="D38" s="331" t="s">
        <v>214</v>
      </c>
      <c r="E38" s="318">
        <f>E37*1.17</f>
        <v>2571.66</v>
      </c>
      <c r="F38" s="369"/>
      <c r="G38" s="318"/>
      <c r="I38" s="330"/>
      <c r="K38" s="363"/>
      <c r="L38" s="366"/>
    </row>
    <row r="39" spans="2:16" x14ac:dyDescent="0.2">
      <c r="K39" s="363"/>
      <c r="L39" s="366"/>
    </row>
    <row r="40" spans="2:16" x14ac:dyDescent="0.2">
      <c r="D40" s="331" t="s">
        <v>274</v>
      </c>
      <c r="E40" s="334">
        <f>travail!M56</f>
        <v>88</v>
      </c>
      <c r="H40" s="330"/>
      <c r="I40" s="330"/>
      <c r="J40" s="330"/>
      <c r="K40" s="366"/>
      <c r="L40" s="366"/>
      <c r="M40" s="330"/>
    </row>
    <row r="41" spans="2:16" x14ac:dyDescent="0.2">
      <c r="D41" s="331" t="s">
        <v>216</v>
      </c>
      <c r="E41" s="338" t="s">
        <v>16</v>
      </c>
      <c r="H41" s="330"/>
      <c r="I41" s="330"/>
      <c r="J41" s="330"/>
      <c r="K41" s="366"/>
      <c r="L41" s="366"/>
      <c r="M41" s="330"/>
    </row>
    <row r="42" spans="2:16" x14ac:dyDescent="0.2">
      <c r="D42" s="330"/>
      <c r="E42" s="330"/>
      <c r="H42" s="330"/>
      <c r="I42" s="330"/>
      <c r="J42" s="330"/>
      <c r="K42" s="366"/>
      <c r="L42" s="366"/>
      <c r="M42" s="330"/>
    </row>
    <row r="43" spans="2:16" x14ac:dyDescent="0.2">
      <c r="B43" s="335"/>
      <c r="C43" s="335"/>
      <c r="D43" s="335"/>
      <c r="E43" s="335"/>
      <c r="G43" s="318"/>
      <c r="H43" s="330"/>
      <c r="I43" s="330"/>
      <c r="J43" s="330"/>
      <c r="K43" s="366"/>
      <c r="L43" s="366"/>
      <c r="M43" s="330"/>
    </row>
    <row r="44" spans="2:16" x14ac:dyDescent="0.2">
      <c r="C44" s="330"/>
      <c r="H44" s="330"/>
      <c r="I44" s="330"/>
      <c r="J44" s="330"/>
      <c r="K44" s="366"/>
      <c r="L44" s="366"/>
      <c r="M44" s="330"/>
    </row>
    <row r="45" spans="2:16" x14ac:dyDescent="0.2">
      <c r="C45" s="330"/>
      <c r="D45" s="330"/>
      <c r="E45" s="330"/>
      <c r="F45" s="375"/>
      <c r="G45" s="376"/>
      <c r="H45" s="330"/>
      <c r="I45" s="330"/>
      <c r="J45" s="330"/>
      <c r="K45" s="365"/>
      <c r="M45" s="330"/>
    </row>
    <row r="46" spans="2:16" x14ac:dyDescent="0.2">
      <c r="C46" s="330"/>
      <c r="D46" s="330"/>
      <c r="E46" s="330"/>
      <c r="F46" s="375"/>
      <c r="G46" s="377"/>
      <c r="H46" s="330"/>
      <c r="I46" s="330"/>
      <c r="J46" s="330"/>
      <c r="K46" s="365"/>
      <c r="M46" s="330"/>
    </row>
    <row r="47" spans="2:16" x14ac:dyDescent="0.2">
      <c r="C47" s="330"/>
      <c r="D47" s="330"/>
      <c r="E47" s="330"/>
      <c r="F47" s="375"/>
      <c r="G47" s="376"/>
      <c r="H47" s="330"/>
      <c r="I47" s="330"/>
      <c r="J47" s="330"/>
      <c r="K47" s="365"/>
      <c r="M47" s="330"/>
    </row>
    <row r="48" spans="2:16" x14ac:dyDescent="0.2">
      <c r="C48" s="330"/>
      <c r="D48" s="330"/>
      <c r="E48" s="330"/>
      <c r="F48" s="375"/>
      <c r="G48" s="376"/>
      <c r="H48" s="330"/>
      <c r="I48" s="330"/>
      <c r="J48" s="330"/>
      <c r="K48" s="365"/>
      <c r="M48" s="330"/>
    </row>
    <row r="49" spans="3:13" x14ac:dyDescent="0.2">
      <c r="C49" s="330"/>
      <c r="D49" s="330"/>
      <c r="E49" s="330"/>
      <c r="F49" s="375"/>
      <c r="G49" s="376"/>
      <c r="H49" s="330"/>
      <c r="I49" s="330"/>
      <c r="J49" s="330"/>
      <c r="K49" s="365"/>
      <c r="M49" s="330"/>
    </row>
    <row r="50" spans="3:13" x14ac:dyDescent="0.2">
      <c r="C50" s="330"/>
      <c r="D50" s="330"/>
      <c r="E50" s="330"/>
      <c r="F50" s="375"/>
      <c r="G50" s="376"/>
      <c r="H50" s="330"/>
      <c r="I50" s="330"/>
      <c r="J50" s="330"/>
      <c r="K50" s="365"/>
      <c r="M50" s="330"/>
    </row>
    <row r="51" spans="3:13" x14ac:dyDescent="0.2">
      <c r="C51" s="330"/>
      <c r="D51" s="330"/>
      <c r="E51" s="330"/>
      <c r="F51" s="375"/>
      <c r="G51" s="376"/>
      <c r="I51" s="330"/>
    </row>
    <row r="52" spans="3:13" x14ac:dyDescent="0.2">
      <c r="C52" s="330"/>
      <c r="D52" s="330"/>
      <c r="E52" s="330"/>
      <c r="F52" s="375"/>
      <c r="G52" s="376"/>
      <c r="I52" s="330"/>
    </row>
  </sheetData>
  <sheetProtection algorithmName="SHA-512" hashValue="aiPOP6dvzKjlLCOTwt/YohMrX1DlOMPKpHXHt3Yn8q8/KIUXgu9CKgfQ4ZSPx286pgZHljRlconTvt+1DGldFA==" saltValue="OTNxPyTBbVrLhK+/ynYpUQ==" spinCount="100000" sheet="1" objects="1" scenarios="1"/>
  <mergeCells count="18">
    <mergeCell ref="B1:E1"/>
    <mergeCell ref="B23:C23"/>
    <mergeCell ref="B3:E3"/>
    <mergeCell ref="D5:E5"/>
    <mergeCell ref="B4:E4"/>
    <mergeCell ref="B32:C32"/>
    <mergeCell ref="B2:E2"/>
    <mergeCell ref="B31:C31"/>
    <mergeCell ref="B27:C27"/>
    <mergeCell ref="B28:C28"/>
    <mergeCell ref="B29:C29"/>
    <mergeCell ref="B26:C26"/>
    <mergeCell ref="B19:C19"/>
    <mergeCell ref="B20:C20"/>
    <mergeCell ref="B21:C21"/>
    <mergeCell ref="B22:C22"/>
    <mergeCell ref="B30:C30"/>
    <mergeCell ref="B24:C24"/>
  </mergeCells>
  <conditionalFormatting sqref="H28:I28">
    <cfRule type="cellIs" dxfId="0" priority="1" operator="notEqual">
      <formula>0</formula>
    </cfRule>
  </conditionalFormatting>
  <dataValidations count="8">
    <dataValidation type="whole" allowBlank="1" showErrorMessage="1" sqref="D20:D24 D27:D32 D10:D17" xr:uid="{D18F749C-3178-1145-84C1-2C8F14276B30}">
      <formula1>0</formula1>
      <formula2>50</formula2>
    </dataValidation>
    <dataValidation type="list" allowBlank="1" showErrorMessage="1" sqref="B27:C32" xr:uid="{74C8DB94-75CC-194B-AE8F-EB29428CE982}">
      <formula1>Profils</formula1>
    </dataValidation>
    <dataValidation type="list" allowBlank="1" showErrorMessage="1" sqref="B20:B24" xr:uid="{EBDCBA40-C632-B643-BE8B-3DEAEEF9D7BD}">
      <formula1>Hardware</formula1>
    </dataValidation>
    <dataValidation type="list" allowBlank="1" showErrorMessage="1" sqref="C7" xr:uid="{F1611A6F-98DF-234C-ACEF-3943B014F0E7}">
      <formula1>Finance2</formula1>
    </dataValidation>
    <dataValidation type="list" allowBlank="1" showInputMessage="1" showErrorMessage="1" sqref="C10:C17" xr:uid="{C3F5FADC-73E6-DF4A-8F0C-D7DE30ACC76F}">
      <formula1>INDIRECT(B10)</formula1>
    </dataValidation>
    <dataValidation type="list" allowBlank="1" showErrorMessage="1" sqref="B10:B17" xr:uid="{C12E849F-E3C8-8944-8627-8D8EFA57D585}">
      <formula1>IF(C10="-",Marques,INDIRECT("FakeRange"))</formula1>
    </dataValidation>
    <dataValidation type="list" allowBlank="1" showErrorMessage="1" sqref="C6" xr:uid="{C80C9F11-394E-4545-B0FA-92C73A4A7E3F}">
      <formula1>Annual</formula1>
    </dataValidation>
    <dataValidation type="list" allowBlank="1" showErrorMessage="1" sqref="E41" xr:uid="{CD8D7AF3-7DEF-264C-B309-DF50CC848782}">
      <formula1>Choix</formula1>
    </dataValidation>
  </dataValidations>
  <pageMargins left="0.25" right="0.25" top="0.75" bottom="0.75" header="0.3" footer="0.3"/>
  <pageSetup paperSize="9" orientation="portrait" copies="2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27</vt:i4>
      </vt:variant>
    </vt:vector>
  </HeadingPairs>
  <TitlesOfParts>
    <vt:vector size="34" baseType="lpstr">
      <vt:lpstr>3cx List</vt:lpstr>
      <vt:lpstr>Fin.</vt:lpstr>
      <vt:lpstr>Hardware</vt:lpstr>
      <vt:lpstr>Phones</vt:lpstr>
      <vt:lpstr>valeurs</vt:lpstr>
      <vt:lpstr>travail</vt:lpstr>
      <vt:lpstr>Simu</vt:lpstr>
      <vt:lpstr>Annual</vt:lpstr>
      <vt:lpstr>Choix</vt:lpstr>
      <vt:lpstr>Durée</vt:lpstr>
      <vt:lpstr>Fanvil</vt:lpstr>
      <vt:lpstr>Finance1</vt:lpstr>
      <vt:lpstr>Finance2</vt:lpstr>
      <vt:lpstr>Finance3</vt:lpstr>
      <vt:lpstr>Grandstream</vt:lpstr>
      <vt:lpstr>Hardware</vt:lpstr>
      <vt:lpstr>HardwarePrix</vt:lpstr>
      <vt:lpstr>Licence</vt:lpstr>
      <vt:lpstr>Marques</vt:lpstr>
      <vt:lpstr>Perpetual</vt:lpstr>
      <vt:lpstr>Plantronics</vt:lpstr>
      <vt:lpstr>Print</vt:lpstr>
      <vt:lpstr>Simu!Print_Area</vt:lpstr>
      <vt:lpstr>Prix3cx</vt:lpstr>
      <vt:lpstr>PrixIndex</vt:lpstr>
      <vt:lpstr>PrixMaint</vt:lpstr>
      <vt:lpstr>PrixTel</vt:lpstr>
      <vt:lpstr>Profils</vt:lpstr>
      <vt:lpstr>ProfilsPrix</vt:lpstr>
      <vt:lpstr>Remises</vt:lpstr>
      <vt:lpstr>Snom</vt:lpstr>
      <vt:lpstr>Taux</vt:lpstr>
      <vt:lpstr>Type</vt:lpstr>
      <vt:lpstr>Yealink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Lux-World PC - Bureau</dc:creator>
  <cp:lastModifiedBy>Microsoft Office User</cp:lastModifiedBy>
  <cp:lastPrinted>2020-10-28T13:56:29Z</cp:lastPrinted>
  <dcterms:created xsi:type="dcterms:W3CDTF">2019-09-19T19:23:27Z</dcterms:created>
  <dcterms:modified xsi:type="dcterms:W3CDTF">2020-10-29T14:38:10Z</dcterms:modified>
</cp:coreProperties>
</file>